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autoCompressPictures="0" defaultThemeVersion="124226"/>
  <bookViews>
    <workbookView xWindow="0" yWindow="0" windowWidth="20160" windowHeight="9612" tabRatio="868"/>
  </bookViews>
  <sheets>
    <sheet name="Risk_Calculations" sheetId="4" r:id="rId1"/>
    <sheet name="PEF Construction Scenario" sheetId="5" r:id="rId2"/>
    <sheet name="PEF Off-Site Resident" sheetId="2" r:id="rId3"/>
    <sheet name="PEF Comm-Indust Worker" sheetId="3" r:id="rId4"/>
    <sheet name="PEF Onsite Resident" sheetId="8" r:id="rId5"/>
    <sheet name="QC Equation Constants" sheetId="6" r:id="rId6"/>
    <sheet name="Data and Analytical Sensitivity" sheetId="7" r:id="rId7"/>
    <sheet name="BCL Asbestos" sheetId="9" r:id="rId8"/>
  </sheets>
  <calcPr calcId="152511"/>
  <extLst>
    <ext xmlns:mx="http://schemas.microsoft.com/office/mac/excel/2008/main" uri="http://schemas.microsoft.com/office/mac/excel/2008/main">
      <mx:ArchID Flags="2"/>
    </ext>
  </extLst>
</workbook>
</file>

<file path=xl/calcChain.xml><?xml version="1.0" encoding="utf-8"?>
<calcChain xmlns="http://schemas.openxmlformats.org/spreadsheetml/2006/main">
  <c r="I2" i="7" l="1"/>
  <c r="I7" i="7"/>
  <c r="I6" i="7"/>
  <c r="D47" i="5" l="1"/>
  <c r="D38" i="5" s="1"/>
  <c r="D66" i="4" l="1"/>
  <c r="D67" i="4" l="1"/>
  <c r="E67" i="4"/>
  <c r="F67" i="4"/>
  <c r="G67" i="4"/>
  <c r="C67" i="4"/>
  <c r="C10" i="9" l="1"/>
  <c r="D10" i="9"/>
  <c r="E10" i="9"/>
  <c r="F10" i="9"/>
  <c r="C11" i="9"/>
  <c r="D11" i="9"/>
  <c r="E11" i="9"/>
  <c r="F11" i="9"/>
  <c r="B44" i="9"/>
  <c r="C44" i="9"/>
  <c r="D44" i="9"/>
  <c r="E44" i="9"/>
  <c r="F44" i="9"/>
  <c r="G44" i="9"/>
  <c r="C9" i="9"/>
  <c r="F9" i="9"/>
  <c r="C48" i="4"/>
  <c r="C49" i="4"/>
  <c r="C51" i="4" s="1"/>
  <c r="D49" i="4"/>
  <c r="D51" i="4" s="1"/>
  <c r="D10" i="3"/>
  <c r="D13" i="3"/>
  <c r="D9" i="3" s="1"/>
  <c r="D11" i="3"/>
  <c r="D12" i="3"/>
  <c r="D44" i="5"/>
  <c r="D62" i="5" s="1"/>
  <c r="D52" i="5"/>
  <c r="D10" i="5"/>
  <c r="D20" i="5"/>
  <c r="D33" i="5"/>
  <c r="D51" i="2"/>
  <c r="D47" i="2" s="1"/>
  <c r="D30" i="2"/>
  <c r="D38" i="2"/>
  <c r="D10" i="2"/>
  <c r="G10" i="2" s="1"/>
  <c r="D21" i="2"/>
  <c r="D37" i="2"/>
  <c r="D10" i="8"/>
  <c r="D13" i="8"/>
  <c r="D11" i="8"/>
  <c r="D12" i="8"/>
  <c r="E66" i="4"/>
  <c r="D9" i="9"/>
  <c r="E9" i="9"/>
  <c r="D12" i="9"/>
  <c r="F66" i="4"/>
  <c r="E12" i="9" s="1"/>
  <c r="G66" i="4"/>
  <c r="F12" i="9" s="1"/>
  <c r="C66" i="4"/>
  <c r="B31" i="4"/>
  <c r="B41" i="4"/>
  <c r="C31" i="4"/>
  <c r="C41" i="4" s="1"/>
  <c r="B29" i="4"/>
  <c r="B39" i="4" s="1"/>
  <c r="C29" i="4"/>
  <c r="C39" i="4" s="1"/>
  <c r="B30" i="4"/>
  <c r="C30" i="4"/>
  <c r="C40" i="4" s="1"/>
  <c r="B40" i="4"/>
  <c r="D48" i="4" l="1"/>
  <c r="D52" i="4" s="1"/>
  <c r="E40" i="4"/>
  <c r="C15" i="9" s="1"/>
  <c r="H40" i="4"/>
  <c r="F15" i="9" s="1"/>
  <c r="D46" i="5"/>
  <c r="D15" i="3"/>
  <c r="D16" i="3" s="1"/>
  <c r="C52" i="4"/>
  <c r="C12" i="9"/>
  <c r="D9" i="2"/>
  <c r="D9" i="5"/>
  <c r="D14" i="5" s="1"/>
  <c r="D11" i="5" s="1"/>
  <c r="F40" i="4"/>
  <c r="D15" i="9" s="1"/>
  <c r="D9" i="8"/>
  <c r="D15" i="8" s="1"/>
  <c r="D16" i="8" s="1"/>
  <c r="G40" i="4"/>
  <c r="E15" i="9" s="1"/>
  <c r="D40" i="5"/>
  <c r="C50" i="4"/>
  <c r="D31" i="2"/>
  <c r="D29" i="2" s="1"/>
  <c r="D34" i="5"/>
  <c r="D32" i="5" s="1"/>
  <c r="D50" i="4" l="1"/>
  <c r="D4" i="2"/>
  <c r="G4" i="2"/>
  <c r="E68" i="4"/>
  <c r="E69" i="4" s="1"/>
  <c r="J18" i="4" s="1"/>
  <c r="F68" i="4"/>
  <c r="F69" i="4" s="1"/>
  <c r="E16" i="9" s="1"/>
  <c r="D23" i="2"/>
  <c r="D19" i="2" s="1"/>
  <c r="D15" i="2"/>
  <c r="D12" i="2" s="1"/>
  <c r="E21" i="4"/>
  <c r="D24" i="5"/>
  <c r="D18" i="5" s="1"/>
  <c r="D51" i="5"/>
  <c r="D4" i="5"/>
  <c r="G68" i="4"/>
  <c r="G69" i="4" s="1"/>
  <c r="F16" i="9" s="1"/>
  <c r="F17" i="9" s="1"/>
  <c r="F27" i="9" s="1"/>
  <c r="F29" i="9" s="1"/>
  <c r="D27" i="2"/>
  <c r="D25" i="2" s="1"/>
  <c r="D36" i="2"/>
  <c r="D43" i="2" s="1"/>
  <c r="D35" i="2" s="1"/>
  <c r="D30" i="5"/>
  <c r="D26" i="5" s="1"/>
  <c r="E17" i="4"/>
  <c r="F17" i="4"/>
  <c r="D45" i="2" l="1"/>
  <c r="K21" i="4"/>
  <c r="F21" i="4"/>
  <c r="F18" i="4"/>
  <c r="E18" i="4"/>
  <c r="J17" i="4"/>
  <c r="J21" i="4"/>
  <c r="E20" i="4"/>
  <c r="L20" i="4"/>
  <c r="J20" i="4"/>
  <c r="K17" i="4"/>
  <c r="K18" i="4"/>
  <c r="F20" i="4"/>
  <c r="E18" i="9"/>
  <c r="E17" i="9"/>
  <c r="K20" i="4"/>
  <c r="L18" i="4"/>
  <c r="L21" i="4"/>
  <c r="G21" i="4"/>
  <c r="L17" i="4"/>
  <c r="G18" i="4"/>
  <c r="D53" i="2"/>
  <c r="G20" i="4"/>
  <c r="F33" i="9"/>
  <c r="F35" i="9" s="1"/>
  <c r="D37" i="5"/>
  <c r="D48" i="5" s="1"/>
  <c r="F21" i="9"/>
  <c r="F23" i="9" s="1"/>
  <c r="D60" i="5"/>
  <c r="D53" i="5"/>
  <c r="D59" i="5"/>
  <c r="F18" i="9"/>
  <c r="F28" i="9" s="1"/>
  <c r="F30" i="9" s="1"/>
  <c r="G17" i="4"/>
  <c r="D66" i="5" l="1"/>
  <c r="D68" i="5" s="1"/>
  <c r="D69" i="5" s="1"/>
  <c r="D54" i="2"/>
  <c r="D68" i="4"/>
  <c r="D69" i="4" s="1"/>
  <c r="D16" i="9" s="1"/>
  <c r="D17" i="9" s="1"/>
  <c r="D21" i="9" s="1"/>
  <c r="E27" i="9"/>
  <c r="E29" i="9" s="1"/>
  <c r="E21" i="9"/>
  <c r="E23" i="9" s="1"/>
  <c r="E33" i="9"/>
  <c r="E35" i="9" s="1"/>
  <c r="E22" i="9"/>
  <c r="E24" i="9" s="1"/>
  <c r="E28" i="9"/>
  <c r="E30" i="9" s="1"/>
  <c r="E34" i="9"/>
  <c r="E36" i="9" s="1"/>
  <c r="F22" i="9"/>
  <c r="F24" i="9" s="1"/>
  <c r="F34" i="9"/>
  <c r="F36" i="9" s="1"/>
  <c r="C68" i="4" l="1"/>
  <c r="C69" i="4" s="1"/>
  <c r="H20" i="4" s="1"/>
  <c r="D21" i="4"/>
  <c r="I20" i="4"/>
  <c r="I17" i="4"/>
  <c r="D17" i="4"/>
  <c r="D18" i="9"/>
  <c r="D22" i="9" s="1"/>
  <c r="D24" i="9" s="1"/>
  <c r="I21" i="4"/>
  <c r="D20" i="4"/>
  <c r="D18" i="4"/>
  <c r="I18" i="4"/>
  <c r="D33" i="9"/>
  <c r="D35" i="9" s="1"/>
  <c r="D23" i="9"/>
  <c r="D27" i="9"/>
  <c r="D29" i="9" s="1"/>
  <c r="C17" i="4" l="1"/>
  <c r="C21" i="4"/>
  <c r="C16" i="9"/>
  <c r="C18" i="9" s="1"/>
  <c r="C28" i="9" s="1"/>
  <c r="C30" i="9" s="1"/>
  <c r="H21" i="4"/>
  <c r="H17" i="4"/>
  <c r="C18" i="4"/>
  <c r="H18" i="4"/>
  <c r="C20" i="4"/>
  <c r="D34" i="9"/>
  <c r="D36" i="9" s="1"/>
  <c r="D28" i="9"/>
  <c r="D30" i="9" s="1"/>
  <c r="C17" i="9"/>
  <c r="C21" i="9" s="1"/>
  <c r="C23" i="9" s="1"/>
  <c r="C22" i="9" l="1"/>
  <c r="C24" i="9" s="1"/>
  <c r="C34" i="9"/>
  <c r="C36" i="9" s="1"/>
  <c r="C27" i="9"/>
  <c r="C29" i="9" s="1"/>
  <c r="C33" i="9"/>
  <c r="C35" i="9" s="1"/>
</calcChain>
</file>

<file path=xl/comments1.xml><?xml version="1.0" encoding="utf-8"?>
<comments xmlns="http://schemas.openxmlformats.org/spreadsheetml/2006/main">
  <authors>
    <author>Author</author>
  </authors>
  <commentList>
    <comment ref="D62" authorId="0" shapeId="0">
      <text>
        <r>
          <rPr>
            <b/>
            <sz val="10"/>
            <color indexed="81"/>
            <rFont val="Tahoma"/>
            <family val="2"/>
          </rPr>
          <t>Author:</t>
        </r>
        <r>
          <rPr>
            <sz val="10"/>
            <color indexed="81"/>
            <rFont val="Tahoma"/>
            <family val="2"/>
          </rPr>
          <t xml:space="preserve">
updated Jan 2015</t>
        </r>
      </text>
    </comment>
    <comment ref="G62" authorId="0" shapeId="0">
      <text>
        <r>
          <rPr>
            <b/>
            <sz val="10"/>
            <color indexed="81"/>
            <rFont val="Tahoma"/>
            <family val="2"/>
          </rPr>
          <t>Author:</t>
        </r>
        <r>
          <rPr>
            <sz val="10"/>
            <color indexed="81"/>
            <rFont val="Tahoma"/>
            <family val="2"/>
          </rPr>
          <t xml:space="preserve">
updated Jan 2015</t>
        </r>
      </text>
    </comment>
    <comment ref="D63" authorId="0" shapeId="0">
      <text>
        <r>
          <rPr>
            <b/>
            <sz val="10"/>
            <color indexed="81"/>
            <rFont val="Tahoma"/>
            <family val="2"/>
          </rPr>
          <t>Author:</t>
        </r>
        <r>
          <rPr>
            <sz val="10"/>
            <color indexed="81"/>
            <rFont val="Tahoma"/>
            <family val="2"/>
          </rPr>
          <t xml:space="preserve">
updated Jan 2015</t>
        </r>
      </text>
    </comment>
    <comment ref="G63" authorId="0" shapeId="0">
      <text>
        <r>
          <rPr>
            <b/>
            <sz val="10"/>
            <color indexed="81"/>
            <rFont val="Tahoma"/>
            <family val="2"/>
          </rPr>
          <t>Author:</t>
        </r>
        <r>
          <rPr>
            <sz val="10"/>
            <color indexed="81"/>
            <rFont val="Tahoma"/>
            <family val="2"/>
          </rPr>
          <t xml:space="preserve">
updated Jan 2015</t>
        </r>
      </text>
    </comment>
    <comment ref="D64" authorId="0" shapeId="0">
      <text>
        <r>
          <rPr>
            <b/>
            <sz val="10"/>
            <color indexed="81"/>
            <rFont val="Tahoma"/>
            <family val="2"/>
          </rPr>
          <t>Author:</t>
        </r>
        <r>
          <rPr>
            <sz val="10"/>
            <color indexed="81"/>
            <rFont val="Tahoma"/>
            <family val="2"/>
          </rPr>
          <t xml:space="preserve">
Updated Jan 2015</t>
        </r>
      </text>
    </comment>
    <comment ref="G64" authorId="0" shapeId="0">
      <text>
        <r>
          <rPr>
            <b/>
            <sz val="10"/>
            <color indexed="81"/>
            <rFont val="Tahoma"/>
            <family val="2"/>
          </rPr>
          <t>Author:</t>
        </r>
        <r>
          <rPr>
            <sz val="10"/>
            <color indexed="81"/>
            <rFont val="Tahoma"/>
            <family val="2"/>
          </rPr>
          <t xml:space="preserve">
Updated Jan 2015</t>
        </r>
      </text>
    </comment>
  </commentList>
</comments>
</file>

<file path=xl/comments2.xml><?xml version="1.0" encoding="utf-8"?>
<comments xmlns="http://schemas.openxmlformats.org/spreadsheetml/2006/main">
  <authors>
    <author>Author</author>
  </authors>
  <commentList>
    <comment ref="D38" authorId="0" shapeId="0">
      <text>
        <r>
          <rPr>
            <b/>
            <sz val="8"/>
            <color indexed="81"/>
            <rFont val="Tahoma"/>
            <family val="2"/>
          </rPr>
          <t>Author:</t>
        </r>
        <r>
          <rPr>
            <sz val="8"/>
            <color indexed="81"/>
            <rFont val="Tahoma"/>
            <family val="2"/>
          </rPr>
          <t xml:space="preserve">
The 'Particulate Matter Case Example' on pages E-26 through E-29 of EPA (2002) clarifiies that this time period reflects the amount of time during which activities will occur (only when construction workers are present) for Equation E-18 (PEF_sc_road) and Equation E-25 (J'_T).</t>
        </r>
      </text>
    </comment>
    <comment ref="D46" authorId="0" shapeId="0">
      <text>
        <r>
          <rPr>
            <b/>
            <sz val="8"/>
            <color indexed="81"/>
            <rFont val="Tahoma"/>
            <family val="2"/>
          </rPr>
          <t>Author:</t>
        </r>
        <r>
          <rPr>
            <sz val="8"/>
            <color indexed="81"/>
            <rFont val="Tahoma"/>
            <family val="2"/>
          </rPr>
          <t xml:space="preserve">
see comment for cell D43</t>
        </r>
      </text>
    </comment>
    <comment ref="D47" authorId="0" shapeId="0">
      <text>
        <r>
          <rPr>
            <b/>
            <sz val="8"/>
            <color indexed="81"/>
            <rFont val="Tahoma"/>
            <family val="2"/>
          </rPr>
          <t>Author:</t>
        </r>
        <r>
          <rPr>
            <sz val="8"/>
            <color indexed="81"/>
            <rFont val="Tahoma"/>
            <family val="2"/>
          </rPr>
          <t xml:space="preserve">
Equation E-16 for F_D is solved in the 'Particulate Matter Case Example' on pages E-26 through E-29 of EPA (2002) to show that this time period is the overall length of time during which construction occurs.</t>
        </r>
      </text>
    </comment>
  </commentList>
</comments>
</file>

<file path=xl/comments3.xml><?xml version="1.0" encoding="utf-8"?>
<comments xmlns="http://schemas.openxmlformats.org/spreadsheetml/2006/main">
  <authors>
    <author>Author</author>
  </authors>
  <commentList>
    <comment ref="G10" authorId="0" shapeId="0">
      <text>
        <r>
          <rPr>
            <b/>
            <sz val="8"/>
            <color indexed="81"/>
            <rFont val="Tahoma"/>
            <family val="2"/>
          </rPr>
          <t>Author:</t>
        </r>
        <r>
          <rPr>
            <sz val="8"/>
            <color indexed="81"/>
            <rFont val="Tahoma"/>
            <family val="2"/>
          </rPr>
          <t xml:space="preserve">
The equation reflects a total residential exposure duration, of which some part is related to the construction period.</t>
        </r>
      </text>
    </comment>
  </commentList>
</comments>
</file>

<file path=xl/comments4.xml><?xml version="1.0" encoding="utf-8"?>
<comments xmlns="http://schemas.openxmlformats.org/spreadsheetml/2006/main">
  <authors>
    <author>Author</author>
  </authors>
  <commentList>
    <comment ref="A15" authorId="0" shapeId="0">
      <text>
        <r>
          <rPr>
            <b/>
            <sz val="8"/>
            <color indexed="81"/>
            <rFont val="Tahoma"/>
            <family val="2"/>
          </rPr>
          <t>Author:</t>
        </r>
        <r>
          <rPr>
            <sz val="8"/>
            <color indexed="81"/>
            <rFont val="Tahoma"/>
            <family val="2"/>
          </rPr>
          <t xml:space="preserve">
what is this?  Doesn't seem to be used.</t>
        </r>
      </text>
    </comment>
  </commentList>
</comments>
</file>

<file path=xl/sharedStrings.xml><?xml version="1.0" encoding="utf-8"?>
<sst xmlns="http://schemas.openxmlformats.org/spreadsheetml/2006/main" count="801" uniqueCount="446">
  <si>
    <t>Enter site-specific data into this worksheet by replacing rows 13 through 36, and</t>
    <phoneticPr fontId="65" type="noConversion"/>
  </si>
  <si>
    <t xml:space="preserve">adjusting the formulas in the calculations of Analytical Sensitivity and Numbers of fibers </t>
    <phoneticPr fontId="65" type="noConversion"/>
  </si>
  <si>
    <t>Sample</t>
    <phoneticPr fontId="65" type="noConversion"/>
  </si>
  <si>
    <t>Number of Amphibole fibers</t>
    <phoneticPr fontId="65" type="noConversion"/>
  </si>
  <si>
    <t>CALCULATION FOR POOLED ANALYTICAL SENSITIVITY</t>
    <phoneticPr fontId="65" type="noConversion"/>
  </si>
  <si>
    <r>
      <t xml:space="preserve">After Table 8-2: Esimated Additional Deaths from Lung Cancer or Mesothelioma per 100,000 persons from constant lifetime exposure to 0.0001 TEM f/cc longer than 10 um and thinner than 0.4 um - Based on </t>
    </r>
    <r>
      <rPr>
        <b/>
        <i/>
        <sz val="11"/>
        <color indexed="8"/>
        <rFont val="Calibri"/>
        <family val="2"/>
      </rPr>
      <t>OPTIMUM</t>
    </r>
    <r>
      <rPr>
        <i/>
        <sz val="11"/>
        <color indexed="8"/>
        <rFont val="Calibri"/>
        <family val="2"/>
      </rPr>
      <t xml:space="preserve"> Risk Coefficients (Berman and Crump, 2003)</t>
    </r>
  </si>
  <si>
    <t>Inputs for AT, EF, ED, and ET are in worksheet 'Risk_Calculations'.</t>
  </si>
  <si>
    <t>PEF values are referenced to worksheet 'Risk_Calculations'.</t>
  </si>
  <si>
    <t>This is a planning worksheet to determine the number of asbestos samples needed to reach prescribed risk target levels.</t>
    <phoneticPr fontId="65" type="noConversion"/>
  </si>
  <si>
    <t>Sample specific analytical sensitivity is input in Cell A40.  It is assumed that the same AS applies to each sample.</t>
    <phoneticPr fontId="65" type="noConversion"/>
  </si>
  <si>
    <r>
      <t>VKT</t>
    </r>
    <r>
      <rPr>
        <vertAlign val="subscript"/>
        <sz val="10"/>
        <rFont val="Times New Roman"/>
        <family val="1"/>
      </rPr>
      <t>road</t>
    </r>
  </si>
  <si>
    <r>
      <t>Subchronic Dispersion Factor for road segment</t>
    </r>
    <r>
      <rPr>
        <b/>
        <vertAlign val="superscript"/>
        <sz val="10"/>
        <rFont val="Times New Roman"/>
        <family val="1"/>
      </rPr>
      <t>(22)</t>
    </r>
  </si>
  <si>
    <r>
      <t>Q/C</t>
    </r>
    <r>
      <rPr>
        <vertAlign val="subscript"/>
        <sz val="10"/>
        <rFont val="Times New Roman"/>
        <family val="1"/>
      </rPr>
      <t>sr</t>
    </r>
  </si>
  <si>
    <r>
      <t>Subchronic PEF for Unpaved Road Traffic</t>
    </r>
    <r>
      <rPr>
        <b/>
        <vertAlign val="superscript"/>
        <sz val="10"/>
        <rFont val="Times New Roman"/>
        <family val="1"/>
      </rPr>
      <t>(23)</t>
    </r>
  </si>
  <si>
    <r>
      <t>PEF</t>
    </r>
    <r>
      <rPr>
        <b/>
        <vertAlign val="subscript"/>
        <sz val="10"/>
        <rFont val="Times New Roman"/>
        <family val="1"/>
      </rPr>
      <t>sc_road</t>
    </r>
  </si>
  <si>
    <r>
      <t>10</t>
    </r>
    <r>
      <rPr>
        <vertAlign val="superscript"/>
        <sz val="11"/>
        <color indexed="8"/>
        <rFont val="Calibri"/>
        <family val="2"/>
      </rPr>
      <t>6</t>
    </r>
    <r>
      <rPr>
        <sz val="11"/>
        <color theme="1"/>
        <rFont val="Calibri"/>
        <family val="2"/>
        <scheme val="minor"/>
      </rPr>
      <t xml:space="preserve"> f/g PM10</t>
    </r>
  </si>
  <si>
    <r>
      <t>m</t>
    </r>
    <r>
      <rPr>
        <vertAlign val="superscript"/>
        <sz val="11"/>
        <rFont val="Calibri"/>
        <family val="2"/>
      </rPr>
      <t>3</t>
    </r>
    <r>
      <rPr>
        <sz val="11"/>
        <rFont val="Calibri"/>
        <family val="2"/>
      </rPr>
      <t>/kg</t>
    </r>
  </si>
  <si>
    <r>
      <t>cm</t>
    </r>
    <r>
      <rPr>
        <vertAlign val="superscript"/>
        <sz val="11"/>
        <rFont val="Calibri"/>
        <family val="2"/>
      </rPr>
      <t>3</t>
    </r>
    <r>
      <rPr>
        <sz val="11"/>
        <rFont val="Calibri"/>
        <family val="2"/>
      </rPr>
      <t>/µg</t>
    </r>
  </si>
  <si>
    <r>
      <t>C</t>
    </r>
    <r>
      <rPr>
        <vertAlign val="subscript"/>
        <sz val="11"/>
        <color indexed="8"/>
        <rFont val="Calibri"/>
        <family val="2"/>
      </rPr>
      <t>soil</t>
    </r>
    <r>
      <rPr>
        <sz val="11"/>
        <color theme="1"/>
        <rFont val="Calibri"/>
        <family val="2"/>
        <scheme val="minor"/>
      </rPr>
      <t xml:space="preserve"> (best estimate)</t>
    </r>
  </si>
  <si>
    <r>
      <t>C</t>
    </r>
    <r>
      <rPr>
        <vertAlign val="subscript"/>
        <sz val="11"/>
        <color indexed="8"/>
        <rFont val="Calibri"/>
        <family val="2"/>
      </rPr>
      <t>soil</t>
    </r>
    <r>
      <rPr>
        <sz val="11"/>
        <color theme="1"/>
        <rFont val="Calibri"/>
        <family val="2"/>
        <scheme val="minor"/>
      </rPr>
      <t xml:space="preserve"> 95% UCL (upper bound)</t>
    </r>
  </si>
  <si>
    <r>
      <t>Areal Extent of site surface contamination</t>
    </r>
    <r>
      <rPr>
        <vertAlign val="superscript"/>
        <sz val="11"/>
        <rFont val="Calibri"/>
        <family val="2"/>
      </rPr>
      <t>(3)</t>
    </r>
  </si>
  <si>
    <r>
      <t>A</t>
    </r>
    <r>
      <rPr>
        <vertAlign val="subscript"/>
        <sz val="11"/>
        <rFont val="Calibri"/>
        <family val="2"/>
      </rPr>
      <t>surf</t>
    </r>
  </si>
  <si>
    <t>Input for Area is in worksheet 'Risk_Calculations'.</t>
  </si>
  <si>
    <t>Input for Area is in worksheet 'Risk_Calculations'.</t>
    <phoneticPr fontId="65" type="noConversion"/>
  </si>
  <si>
    <t>Offsite Residents scenario</t>
    <phoneticPr fontId="65" type="noConversion"/>
  </si>
  <si>
    <t>Commercial-Industrial and Onsite Residents scenarios</t>
    <phoneticPr fontId="65" type="noConversion"/>
  </si>
  <si>
    <t>For planning purposes it is reasonable to assume each sample has the same AS, in which case this simplification applies and is used directly in the minimum sample size calculations above.</t>
  </si>
  <si>
    <t xml:space="preserve">Note that the Pooled Analytical Sensitivity (pooled AS) formula, as depicted in Cell I6 in the Analytical Sensitivity Worksheet, reduces to sample AS/n when Analytical Sensitivity is the same for each sample.  </t>
    <phoneticPr fontId="65" type="noConversion"/>
  </si>
  <si>
    <t>Pooled Analytical Sensitivity</t>
  </si>
  <si>
    <t>A</t>
  </si>
  <si>
    <t>B</t>
  </si>
  <si>
    <t>C</t>
  </si>
  <si>
    <t>Units</t>
  </si>
  <si>
    <t>Parameter</t>
  </si>
  <si>
    <t>Value</t>
  </si>
  <si>
    <t>T</t>
  </si>
  <si>
    <t xml:space="preserve">Abbrev. </t>
  </si>
  <si>
    <t>Wind Erosion and Construction Activities</t>
  </si>
  <si>
    <r>
      <t>Fugitive dust from wind erosion</t>
    </r>
    <r>
      <rPr>
        <b/>
        <vertAlign val="superscript"/>
        <sz val="10"/>
        <rFont val="Times New Roman"/>
        <family val="1"/>
      </rPr>
      <t>(1)</t>
    </r>
  </si>
  <si>
    <r>
      <t>M</t>
    </r>
    <r>
      <rPr>
        <vertAlign val="subscript"/>
        <sz val="10"/>
        <rFont val="Times New Roman"/>
        <family val="1"/>
      </rPr>
      <t>wind</t>
    </r>
  </si>
  <si>
    <t>g</t>
  </si>
  <si>
    <t>Length of dozer blade</t>
  </si>
  <si>
    <r>
      <t>B</t>
    </r>
    <r>
      <rPr>
        <vertAlign val="subscript"/>
        <sz val="10"/>
        <rFont val="Times New Roman"/>
        <family val="1"/>
      </rPr>
      <t>d</t>
    </r>
  </si>
  <si>
    <r>
      <t>N</t>
    </r>
    <r>
      <rPr>
        <vertAlign val="subscript"/>
        <sz val="10"/>
        <rFont val="Times New Roman"/>
        <family val="1"/>
      </rPr>
      <t>doze</t>
    </r>
  </si>
  <si>
    <r>
      <t>(f/cm</t>
    </r>
    <r>
      <rPr>
        <vertAlign val="superscript"/>
        <sz val="11"/>
        <color theme="1"/>
        <rFont val="Calibri"/>
        <family val="2"/>
        <scheme val="minor"/>
      </rPr>
      <t>3</t>
    </r>
    <r>
      <rPr>
        <sz val="11"/>
        <color theme="1"/>
        <rFont val="Calibri"/>
        <family val="2"/>
        <scheme val="minor"/>
      </rPr>
      <t>)</t>
    </r>
    <r>
      <rPr>
        <vertAlign val="superscript"/>
        <sz val="11"/>
        <color indexed="8"/>
        <rFont val="Calibri"/>
        <family val="2"/>
      </rPr>
      <t>-1</t>
    </r>
  </si>
  <si>
    <t>Outdoor Worker</t>
  </si>
  <si>
    <t>Indoor Worker</t>
  </si>
  <si>
    <t>AMPHIBOLE</t>
    <phoneticPr fontId="65" type="noConversion"/>
  </si>
  <si>
    <t>(7)This value can change based on site specific characteristics</t>
    <phoneticPr fontId="65" type="noConversion"/>
  </si>
  <si>
    <t>(8) This value can change based on site specific characteristics</t>
    <phoneticPr fontId="65" type="noConversion"/>
  </si>
  <si>
    <t>(4) Site area - this value can change based on site characteristics (change in the Risk_Calculations worksheet)</t>
    <phoneticPr fontId="65" type="noConversion"/>
  </si>
  <si>
    <t>These are the only fibers needed for the risk assessment.</t>
  </si>
  <si>
    <t>Number of Chrysotile fibers</t>
    <phoneticPr fontId="65" type="noConversion"/>
  </si>
  <si>
    <t>%</t>
  </si>
  <si>
    <r>
      <t>Areal extent of site excavation</t>
    </r>
    <r>
      <rPr>
        <vertAlign val="superscript"/>
        <sz val="11.5"/>
        <rFont val="Times New Roman"/>
        <family val="1"/>
      </rPr>
      <t>(9)</t>
    </r>
  </si>
  <si>
    <r>
      <t>A</t>
    </r>
    <r>
      <rPr>
        <vertAlign val="subscript"/>
        <sz val="10"/>
        <rFont val="Times New Roman"/>
        <family val="1"/>
      </rPr>
      <t>excav</t>
    </r>
  </si>
  <si>
    <r>
      <t>d</t>
    </r>
    <r>
      <rPr>
        <vertAlign val="subscript"/>
        <sz val="10"/>
        <rFont val="Times New Roman"/>
        <family val="1"/>
      </rPr>
      <t>excav</t>
    </r>
  </si>
  <si>
    <t>m</t>
  </si>
  <si>
    <r>
      <t>Number of times soil is dumped</t>
    </r>
    <r>
      <rPr>
        <vertAlign val="superscript"/>
        <sz val="11.5"/>
        <rFont val="Times New Roman"/>
        <family val="1"/>
      </rPr>
      <t>(2)</t>
    </r>
  </si>
  <si>
    <r>
      <t>N</t>
    </r>
    <r>
      <rPr>
        <vertAlign val="subscript"/>
        <sz val="10"/>
        <rFont val="Times New Roman"/>
        <family val="1"/>
      </rPr>
      <t>A</t>
    </r>
  </si>
  <si>
    <r>
      <t>Fugitive dust from dozing</t>
    </r>
    <r>
      <rPr>
        <b/>
        <vertAlign val="superscript"/>
        <sz val="10"/>
        <rFont val="Times New Roman"/>
        <family val="1"/>
      </rPr>
      <t>(10)</t>
    </r>
  </si>
  <si>
    <r>
      <t>M</t>
    </r>
    <r>
      <rPr>
        <vertAlign val="subscript"/>
        <sz val="10"/>
        <rFont val="Times New Roman"/>
        <family val="1"/>
      </rPr>
      <t>doz</t>
    </r>
  </si>
  <si>
    <t>s</t>
  </si>
  <si>
    <r>
      <t>S</t>
    </r>
    <r>
      <rPr>
        <vertAlign val="subscript"/>
        <sz val="10"/>
        <rFont val="Times New Roman"/>
        <family val="1"/>
      </rPr>
      <t>doz</t>
    </r>
  </si>
  <si>
    <t>km/hr</t>
  </si>
  <si>
    <r>
      <t>Sum dozing kilometers traveled</t>
    </r>
    <r>
      <rPr>
        <vertAlign val="superscript"/>
        <sz val="10"/>
        <rFont val="Times New Roman"/>
        <family val="1"/>
      </rPr>
      <t>(11)</t>
    </r>
  </si>
  <si>
    <r>
      <t>VKT</t>
    </r>
    <r>
      <rPr>
        <vertAlign val="subscript"/>
        <sz val="10"/>
        <rFont val="Times New Roman"/>
        <family val="1"/>
      </rPr>
      <t>doz</t>
    </r>
  </si>
  <si>
    <t>km</t>
  </si>
  <si>
    <r>
      <t>Fugitive dust from grading</t>
    </r>
    <r>
      <rPr>
        <b/>
        <vertAlign val="superscript"/>
        <sz val="10"/>
        <rFont val="Times New Roman"/>
        <family val="1"/>
      </rPr>
      <t>(12)</t>
    </r>
  </si>
  <si>
    <r>
      <t>M</t>
    </r>
    <r>
      <rPr>
        <vertAlign val="subscript"/>
        <sz val="10"/>
        <rFont val="Times New Roman"/>
        <family val="1"/>
      </rPr>
      <t>grade</t>
    </r>
  </si>
  <si>
    <r>
      <t>S</t>
    </r>
    <r>
      <rPr>
        <vertAlign val="subscript"/>
        <sz val="10"/>
        <rFont val="Times New Roman"/>
        <family val="1"/>
      </rPr>
      <t>grade</t>
    </r>
  </si>
  <si>
    <r>
      <t>VKT</t>
    </r>
    <r>
      <rPr>
        <vertAlign val="subscript"/>
        <sz val="10"/>
        <rFont val="Times New Roman"/>
        <family val="1"/>
      </rPr>
      <t>grade</t>
    </r>
  </si>
  <si>
    <r>
      <t>Fugitive dust from tilling</t>
    </r>
    <r>
      <rPr>
        <b/>
        <vertAlign val="superscript"/>
        <sz val="10"/>
        <rFont val="Times New Roman"/>
        <family val="1"/>
      </rPr>
      <t>(13)</t>
    </r>
  </si>
  <si>
    <r>
      <t>M</t>
    </r>
    <r>
      <rPr>
        <vertAlign val="subscript"/>
        <sz val="10"/>
        <rFont val="Times New Roman"/>
        <family val="1"/>
      </rPr>
      <t>till</t>
    </r>
  </si>
  <si>
    <r>
      <t>Areal extent of site tilling</t>
    </r>
    <r>
      <rPr>
        <vertAlign val="superscript"/>
        <sz val="10"/>
        <rFont val="Times New Roman"/>
        <family val="1"/>
      </rPr>
      <t>(9)</t>
    </r>
  </si>
  <si>
    <r>
      <t>A</t>
    </r>
    <r>
      <rPr>
        <vertAlign val="subscript"/>
        <sz val="10"/>
        <rFont val="Times New Roman"/>
        <family val="1"/>
      </rPr>
      <t>till</t>
    </r>
  </si>
  <si>
    <t>acre</t>
  </si>
  <si>
    <t>Adjustment factors (for information only) are referenced to worksheet 'Risk_Calculations'.</t>
  </si>
  <si>
    <r>
      <t xml:space="preserve">1 </t>
    </r>
    <r>
      <rPr>
        <sz val="9"/>
        <color indexed="8"/>
        <rFont val="Calibri"/>
        <family val="2"/>
      </rPr>
      <t>Inverse of the one-tailed probability of the chi-squared distribution. If probability = CHIDIST(x,...), then CHIINV(probability,...) = x.</t>
    </r>
  </si>
  <si>
    <r>
      <t>f/m</t>
    </r>
    <r>
      <rPr>
        <vertAlign val="superscript"/>
        <sz val="11"/>
        <color indexed="8"/>
        <rFont val="Calibri"/>
        <family val="2"/>
      </rPr>
      <t>3</t>
    </r>
    <phoneticPr fontId="65" type="noConversion"/>
  </si>
  <si>
    <t>Input for ED is in worksheet 'Risk_Calculations'.</t>
    <phoneticPr fontId="65" type="noConversion"/>
  </si>
  <si>
    <t>Inputs for ED are in worksheet 'Risk_Calculations'.</t>
    <phoneticPr fontId="65" type="noConversion"/>
  </si>
  <si>
    <t xml:space="preserve">Number of </t>
    <phoneticPr fontId="65" type="noConversion"/>
  </si>
  <si>
    <t xml:space="preserve">Dimensions of </t>
    <phoneticPr fontId="65" type="noConversion"/>
  </si>
  <si>
    <t>Chrysotile Fibers</t>
    <phoneticPr fontId="65" type="noConversion"/>
  </si>
  <si>
    <t>Amphibole Fibers</t>
    <phoneticPr fontId="65" type="noConversion"/>
  </si>
  <si>
    <t>AmphiboleFibers</t>
    <phoneticPr fontId="65" type="noConversion"/>
  </si>
  <si>
    <r>
      <t>m</t>
    </r>
    <r>
      <rPr>
        <b/>
        <vertAlign val="superscript"/>
        <sz val="10"/>
        <rFont val="Times New Roman"/>
        <family val="1"/>
      </rPr>
      <t>3</t>
    </r>
    <r>
      <rPr>
        <b/>
        <sz val="10"/>
        <rFont val="Times New Roman"/>
        <family val="1"/>
      </rPr>
      <t>/kg</t>
    </r>
  </si>
  <si>
    <t>Unpaved Road Traffic</t>
  </si>
  <si>
    <r>
      <t>Length of road segment</t>
    </r>
    <r>
      <rPr>
        <vertAlign val="superscript"/>
        <sz val="10"/>
        <rFont val="Times New Roman"/>
        <family val="1"/>
      </rPr>
      <t>(18)</t>
    </r>
  </si>
  <si>
    <r>
      <t>L</t>
    </r>
    <r>
      <rPr>
        <vertAlign val="subscript"/>
        <sz val="10"/>
        <rFont val="Times New Roman"/>
        <family val="1"/>
      </rPr>
      <t>R</t>
    </r>
  </si>
  <si>
    <r>
      <t>Width of road segment</t>
    </r>
    <r>
      <rPr>
        <vertAlign val="superscript"/>
        <sz val="10"/>
        <rFont val="Times New Roman"/>
        <family val="1"/>
      </rPr>
      <t>(2)</t>
    </r>
  </si>
  <si>
    <r>
      <t>W</t>
    </r>
    <r>
      <rPr>
        <vertAlign val="subscript"/>
        <sz val="10"/>
        <rFont val="Times New Roman"/>
        <family val="1"/>
      </rPr>
      <t>R</t>
    </r>
  </si>
  <si>
    <r>
      <t>A</t>
    </r>
    <r>
      <rPr>
        <vertAlign val="subscript"/>
        <sz val="10"/>
        <rFont val="Times New Roman"/>
        <family val="1"/>
      </rPr>
      <t>R</t>
    </r>
  </si>
  <si>
    <r>
      <t>Mean vehicle weight</t>
    </r>
    <r>
      <rPr>
        <vertAlign val="superscript"/>
        <sz val="10"/>
        <rFont val="Times New Roman"/>
        <family val="1"/>
      </rPr>
      <t>(2)</t>
    </r>
  </si>
  <si>
    <t>W</t>
  </si>
  <si>
    <t>tons</t>
  </si>
  <si>
    <r>
      <t>Percent moisture in dry road surface</t>
    </r>
    <r>
      <rPr>
        <vertAlign val="superscript"/>
        <sz val="10"/>
        <rFont val="Times New Roman"/>
        <family val="1"/>
      </rPr>
      <t>(20)</t>
    </r>
  </si>
  <si>
    <t>p</t>
  </si>
  <si>
    <t>days</t>
  </si>
  <si>
    <r>
      <rPr>
        <b/>
        <sz val="10"/>
        <rFont val="Times New Roman"/>
        <family val="1"/>
      </rPr>
      <t>D</t>
    </r>
    <r>
      <rPr>
        <b/>
        <vertAlign val="subscript"/>
        <sz val="10"/>
        <rFont val="Times New Roman"/>
        <family val="1"/>
      </rPr>
      <t>OFF</t>
    </r>
  </si>
  <si>
    <r>
      <t>D</t>
    </r>
    <r>
      <rPr>
        <b/>
        <vertAlign val="subscript"/>
        <sz val="10"/>
        <rFont val="Times New Roman"/>
        <family val="1"/>
      </rPr>
      <t>worker</t>
    </r>
  </si>
  <si>
    <r>
      <t>D</t>
    </r>
    <r>
      <rPr>
        <b/>
        <vertAlign val="subscript"/>
        <sz val="10"/>
        <rFont val="Times New Roman"/>
        <family val="1"/>
      </rPr>
      <t>construct</t>
    </r>
  </si>
  <si>
    <t>(5) Construction worker ED</t>
  </si>
  <si>
    <t>Office of Solid Waste and Emergency Response, Washington, DC. OSWER 9355.4-24. December.</t>
  </si>
  <si>
    <r>
      <t>Indoor Attenuation Factor (Att</t>
    </r>
    <r>
      <rPr>
        <vertAlign val="subscript"/>
        <sz val="11"/>
        <color indexed="8"/>
        <rFont val="Calibri"/>
        <family val="2"/>
      </rPr>
      <t>in</t>
    </r>
    <r>
      <rPr>
        <sz val="11"/>
        <color theme="1"/>
        <rFont val="Calibri"/>
        <family val="2"/>
        <scheme val="minor"/>
      </rPr>
      <t>)</t>
    </r>
  </si>
  <si>
    <t>hrs/day</t>
  </si>
  <si>
    <r>
      <t xml:space="preserve"> Risk = (C</t>
    </r>
    <r>
      <rPr>
        <b/>
        <i/>
        <vertAlign val="subscript"/>
        <sz val="14"/>
        <color indexed="8"/>
        <rFont val="Calibri"/>
        <family val="2"/>
      </rPr>
      <t>soil</t>
    </r>
    <r>
      <rPr>
        <b/>
        <i/>
        <sz val="14"/>
        <color indexed="8"/>
        <rFont val="Calibri"/>
        <family val="2"/>
      </rPr>
      <t>*URF*(ET</t>
    </r>
    <r>
      <rPr>
        <b/>
        <i/>
        <vertAlign val="subscript"/>
        <sz val="14"/>
        <color indexed="8"/>
        <rFont val="Calibri"/>
        <family val="2"/>
      </rPr>
      <t>out</t>
    </r>
    <r>
      <rPr>
        <b/>
        <i/>
        <sz val="14"/>
        <color indexed="8"/>
        <rFont val="Calibri"/>
        <family val="2"/>
      </rPr>
      <t>+(ET</t>
    </r>
    <r>
      <rPr>
        <b/>
        <i/>
        <vertAlign val="subscript"/>
        <sz val="14"/>
        <color indexed="8"/>
        <rFont val="Calibri"/>
        <family val="2"/>
      </rPr>
      <t>in</t>
    </r>
    <r>
      <rPr>
        <b/>
        <i/>
        <sz val="14"/>
        <color indexed="8"/>
        <rFont val="Calibri"/>
        <family val="2"/>
      </rPr>
      <t>*ATT</t>
    </r>
    <r>
      <rPr>
        <b/>
        <i/>
        <vertAlign val="subscript"/>
        <sz val="14"/>
        <color indexed="8"/>
        <rFont val="Calibri"/>
        <family val="2"/>
      </rPr>
      <t>in</t>
    </r>
    <r>
      <rPr>
        <b/>
        <i/>
        <sz val="14"/>
        <color indexed="8"/>
        <rFont val="Calibri"/>
        <family val="2"/>
      </rPr>
      <t>))*EF*ED) / (PEF*AT)</t>
    </r>
  </si>
  <si>
    <r>
      <t>Onsite Residential PEF</t>
    </r>
    <r>
      <rPr>
        <b/>
        <vertAlign val="superscript"/>
        <sz val="10"/>
        <rFont val="Times New Roman"/>
        <family val="1"/>
      </rPr>
      <t>(5)</t>
    </r>
  </si>
  <si>
    <t>Duration of construction (time period during which construction activities occur)</t>
  </si>
  <si>
    <r>
      <t>t</t>
    </r>
    <r>
      <rPr>
        <vertAlign val="subscript"/>
        <sz val="10"/>
        <rFont val="Times New Roman"/>
        <family val="1"/>
      </rPr>
      <t>c</t>
    </r>
  </si>
  <si>
    <t>hr</t>
  </si>
  <si>
    <t>Number of times area is dozed</t>
  </si>
  <si>
    <t>Number of times area is graded</t>
  </si>
  <si>
    <r>
      <t>N</t>
    </r>
    <r>
      <rPr>
        <vertAlign val="subscript"/>
        <sz val="10"/>
        <rFont val="Times New Roman"/>
        <family val="1"/>
      </rPr>
      <t>grade</t>
    </r>
  </si>
  <si>
    <t>Length of grading blade</t>
  </si>
  <si>
    <r>
      <t>B</t>
    </r>
    <r>
      <rPr>
        <vertAlign val="subscript"/>
        <sz val="10"/>
        <rFont val="Times New Roman"/>
        <family val="1"/>
      </rPr>
      <t>g</t>
    </r>
  </si>
  <si>
    <r>
      <t xml:space="preserve">                                                                                 </t>
    </r>
    <r>
      <rPr>
        <sz val="9.5"/>
        <rFont val="Times New Roman"/>
        <family val="1"/>
      </rPr>
      <t xml:space="preserve"> {[2.6</t>
    </r>
    <r>
      <rPr>
        <sz val="9.5"/>
        <rFont val="Symbol"/>
        <family val="1"/>
      </rPr>
      <t xml:space="preserve"> ´ </t>
    </r>
    <r>
      <rPr>
        <sz val="9.5"/>
        <rFont val="Times New Roman"/>
        <family val="1"/>
      </rPr>
      <t>(s/12)</t>
    </r>
    <r>
      <rPr>
        <vertAlign val="superscript"/>
        <sz val="9.5"/>
        <rFont val="Times New Roman"/>
        <family val="1"/>
      </rPr>
      <t>0.8</t>
    </r>
    <r>
      <rPr>
        <sz val="9.5"/>
        <rFont val="Times New Roman"/>
        <family val="1"/>
      </rPr>
      <t xml:space="preserve"> </t>
    </r>
    <r>
      <rPr>
        <sz val="9.5"/>
        <rFont val="Symbol"/>
        <family val="1"/>
      </rPr>
      <t>´</t>
    </r>
    <r>
      <rPr>
        <sz val="9.5"/>
        <rFont val="Times New Roman"/>
        <family val="1"/>
      </rPr>
      <t xml:space="preserve"> (W/3)</t>
    </r>
    <r>
      <rPr>
        <vertAlign val="superscript"/>
        <sz val="9.5"/>
        <rFont val="Times New Roman"/>
        <family val="1"/>
      </rPr>
      <t>0.4</t>
    </r>
    <r>
      <rPr>
        <sz val="9.5"/>
        <rFont val="Times New Roman"/>
        <family val="1"/>
      </rPr>
      <t>/(M/0.2)</t>
    </r>
    <r>
      <rPr>
        <vertAlign val="superscript"/>
        <sz val="9.5"/>
        <rFont val="Times New Roman"/>
        <family val="1"/>
      </rPr>
      <t>0.3</t>
    </r>
    <r>
      <rPr>
        <sz val="9.5"/>
        <rFont val="Times New Roman"/>
        <family val="1"/>
      </rPr>
      <t xml:space="preserve">] </t>
    </r>
    <r>
      <rPr>
        <sz val="9.5"/>
        <rFont val="Symbol"/>
        <family val="1"/>
      </rPr>
      <t>´</t>
    </r>
    <r>
      <rPr>
        <sz val="9.5"/>
        <rFont val="Times New Roman"/>
        <family val="1"/>
      </rPr>
      <t xml:space="preserve"> [(365-p)/365] </t>
    </r>
    <r>
      <rPr>
        <sz val="9.5"/>
        <rFont val="Symbol"/>
        <family val="1"/>
      </rPr>
      <t>´</t>
    </r>
    <r>
      <rPr>
        <sz val="9.5"/>
        <rFont val="Times New Roman"/>
        <family val="1"/>
      </rPr>
      <t xml:space="preserve"> 281.9 </t>
    </r>
    <r>
      <rPr>
        <sz val="9.5"/>
        <rFont val="Symbol"/>
        <family val="1"/>
      </rPr>
      <t>´</t>
    </r>
    <r>
      <rPr>
        <sz val="9.5"/>
        <rFont val="Times New Roman"/>
        <family val="1"/>
      </rPr>
      <t xml:space="preserve"> </t>
    </r>
    <r>
      <rPr>
        <sz val="9.5"/>
        <rFont val="Arial"/>
        <family val="2"/>
      </rPr>
      <t>∑</t>
    </r>
    <r>
      <rPr>
        <sz val="9.5"/>
        <rFont val="Times New Roman"/>
        <family val="1"/>
      </rPr>
      <t>VKT</t>
    </r>
    <r>
      <rPr>
        <vertAlign val="subscript"/>
        <sz val="9.5"/>
        <rFont val="Times New Roman"/>
        <family val="1"/>
      </rPr>
      <t>road</t>
    </r>
    <r>
      <rPr>
        <sz val="9.5"/>
        <rFont val="Times New Roman"/>
        <family val="1"/>
      </rPr>
      <t>}.</t>
    </r>
  </si>
  <si>
    <r>
      <t>(24) PEF</t>
    </r>
    <r>
      <rPr>
        <vertAlign val="subscript"/>
        <sz val="9.5"/>
        <rFont val="Times New Roman"/>
        <family val="1"/>
      </rPr>
      <t>sc_total</t>
    </r>
    <r>
      <rPr>
        <sz val="9.5"/>
        <rFont val="Times New Roman"/>
        <family val="1"/>
      </rPr>
      <t xml:space="preserve"> = {1/[(1/PEF</t>
    </r>
    <r>
      <rPr>
        <vertAlign val="subscript"/>
        <sz val="9.5"/>
        <rFont val="Times New Roman"/>
        <family val="1"/>
      </rPr>
      <t>sc</t>
    </r>
    <r>
      <rPr>
        <sz val="9.5"/>
        <rFont val="Times New Roman"/>
        <family val="1"/>
      </rPr>
      <t>)+(1/PEF</t>
    </r>
    <r>
      <rPr>
        <vertAlign val="subscript"/>
        <sz val="9.5"/>
        <rFont val="Times New Roman"/>
        <family val="1"/>
      </rPr>
      <t>sc_road</t>
    </r>
    <r>
      <rPr>
        <sz val="9.5"/>
        <rFont val="Times New Roman"/>
        <family val="1"/>
      </rPr>
      <t>)]}.</t>
    </r>
  </si>
  <si>
    <r>
      <t>ED</t>
    </r>
    <r>
      <rPr>
        <vertAlign val="subscript"/>
        <sz val="10"/>
        <rFont val="Times New Roman"/>
        <family val="1"/>
      </rPr>
      <t>OFF</t>
    </r>
  </si>
  <si>
    <r>
      <t>V</t>
    </r>
    <r>
      <rPr>
        <vertAlign val="subscript"/>
        <sz val="10"/>
        <rFont val="Times New Roman"/>
        <family val="1"/>
      </rPr>
      <t>OFF</t>
    </r>
  </si>
  <si>
    <r>
      <t>Air Dispersion Factor for Area Source</t>
    </r>
    <r>
      <rPr>
        <b/>
        <vertAlign val="superscript"/>
        <sz val="10"/>
        <rFont val="Times New Roman"/>
        <family val="1"/>
      </rPr>
      <t>(15)</t>
    </r>
  </si>
  <si>
    <r>
      <t>F</t>
    </r>
    <r>
      <rPr>
        <b/>
        <vertAlign val="subscript"/>
        <sz val="10"/>
        <rFont val="Times New Roman"/>
        <family val="1"/>
      </rPr>
      <t>D</t>
    </r>
  </si>
  <si>
    <r>
      <t>Q/C</t>
    </r>
    <r>
      <rPr>
        <b/>
        <vertAlign val="subscript"/>
        <sz val="10"/>
        <rFont val="Times New Roman"/>
        <family val="1"/>
      </rPr>
      <t>sa</t>
    </r>
  </si>
  <si>
    <r>
      <t>g/m</t>
    </r>
    <r>
      <rPr>
        <b/>
        <vertAlign val="superscript"/>
        <sz val="10"/>
        <rFont val="Times New Roman"/>
        <family val="1"/>
      </rPr>
      <t>2</t>
    </r>
    <r>
      <rPr>
        <b/>
        <sz val="10"/>
        <rFont val="Times New Roman"/>
        <family val="1"/>
      </rPr>
      <t>-sec per kg/m</t>
    </r>
    <r>
      <rPr>
        <b/>
        <vertAlign val="superscript"/>
        <sz val="10"/>
        <rFont val="Times New Roman"/>
        <family val="1"/>
      </rPr>
      <t>3</t>
    </r>
  </si>
  <si>
    <r>
      <t>J'</t>
    </r>
    <r>
      <rPr>
        <b/>
        <vertAlign val="subscript"/>
        <sz val="10"/>
        <rFont val="Times New Roman"/>
        <family val="1"/>
      </rPr>
      <t>T</t>
    </r>
  </si>
  <si>
    <r>
      <t>M</t>
    </r>
    <r>
      <rPr>
        <b/>
        <vertAlign val="subscript"/>
        <sz val="10"/>
        <rFont val="Times New Roman"/>
        <family val="1"/>
      </rPr>
      <t>road</t>
    </r>
  </si>
  <si>
    <r>
      <t>M</t>
    </r>
    <r>
      <rPr>
        <b/>
        <vertAlign val="subscript"/>
        <sz val="10"/>
        <rFont val="Times New Roman"/>
        <family val="1"/>
      </rPr>
      <t>till</t>
    </r>
  </si>
  <si>
    <r>
      <t>M</t>
    </r>
    <r>
      <rPr>
        <b/>
        <vertAlign val="subscript"/>
        <sz val="10"/>
        <rFont val="Times New Roman"/>
        <family val="1"/>
      </rPr>
      <t>grade</t>
    </r>
  </si>
  <si>
    <r>
      <t>M</t>
    </r>
    <r>
      <rPr>
        <b/>
        <vertAlign val="subscript"/>
        <sz val="10"/>
        <rFont val="Times New Roman"/>
        <family val="1"/>
      </rPr>
      <t>doz</t>
    </r>
  </si>
  <si>
    <r>
      <t>M</t>
    </r>
    <r>
      <rPr>
        <b/>
        <vertAlign val="subscript"/>
        <sz val="10"/>
        <rFont val="Times New Roman"/>
        <family val="1"/>
      </rPr>
      <t>excav</t>
    </r>
  </si>
  <si>
    <r>
      <t>M</t>
    </r>
    <r>
      <rPr>
        <b/>
        <vertAlign val="subscript"/>
        <sz val="10"/>
        <rFont val="Times New Roman"/>
        <family val="1"/>
      </rPr>
      <t>wind</t>
    </r>
  </si>
  <si>
    <r>
      <t>M</t>
    </r>
    <r>
      <rPr>
        <b/>
        <vertAlign val="subscript"/>
        <sz val="10"/>
        <rFont val="Times New Roman"/>
        <family val="1"/>
      </rPr>
      <t>windPC</t>
    </r>
  </si>
  <si>
    <r>
      <t>PEF</t>
    </r>
    <r>
      <rPr>
        <b/>
        <vertAlign val="subscript"/>
        <sz val="10"/>
        <rFont val="Times New Roman"/>
        <family val="1"/>
      </rPr>
      <t>OFF</t>
    </r>
  </si>
  <si>
    <t>ESTIMATED AIR CONCENTRATIONS</t>
  </si>
  <si>
    <t>hours</t>
  </si>
  <si>
    <t>Estimated Risk (Total Structures)</t>
  </si>
  <si>
    <t>95% UCL (Total Structures)</t>
  </si>
  <si>
    <r>
      <t>Estimated Airborne Concentration (upper bound)</t>
    </r>
    <r>
      <rPr>
        <vertAlign val="superscript"/>
        <sz val="12"/>
        <color indexed="8"/>
        <rFont val="Calibri"/>
        <family val="2"/>
      </rPr>
      <t>B</t>
    </r>
  </si>
  <si>
    <r>
      <t>A</t>
    </r>
    <r>
      <rPr>
        <i/>
        <sz val="12"/>
        <color indexed="8"/>
        <rFont val="Calibri"/>
        <family val="2"/>
      </rPr>
      <t xml:space="preserve"> Estimated Airborne Concentration = Estimated C</t>
    </r>
    <r>
      <rPr>
        <i/>
        <vertAlign val="subscript"/>
        <sz val="12"/>
        <color indexed="8"/>
        <rFont val="Calibri"/>
        <family val="2"/>
      </rPr>
      <t>soil</t>
    </r>
    <r>
      <rPr>
        <i/>
        <sz val="12"/>
        <color indexed="8"/>
        <rFont val="Calibri"/>
        <family val="2"/>
      </rPr>
      <t xml:space="preserve"> * 1/PEF</t>
    </r>
  </si>
  <si>
    <r>
      <t>B</t>
    </r>
    <r>
      <rPr>
        <i/>
        <sz val="12"/>
        <color indexed="8"/>
        <rFont val="Calibri"/>
        <family val="2"/>
      </rPr>
      <t xml:space="preserve"> Estimated Airborne Concentration = 95% UCL (upper bound) * 1/PEF</t>
    </r>
  </si>
  <si>
    <r>
      <t>Estimated Airborne Concentration, C</t>
    </r>
    <r>
      <rPr>
        <vertAlign val="subscript"/>
        <sz val="12"/>
        <color indexed="8"/>
        <rFont val="Calibri"/>
        <family val="2"/>
      </rPr>
      <t>air</t>
    </r>
    <r>
      <rPr>
        <sz val="12"/>
        <color indexed="8"/>
        <rFont val="Calibri"/>
        <family val="2"/>
      </rPr>
      <t xml:space="preserve"> (best estimate)</t>
    </r>
    <r>
      <rPr>
        <vertAlign val="superscript"/>
        <sz val="12"/>
        <color indexed="8"/>
        <rFont val="Calibri"/>
        <family val="2"/>
      </rPr>
      <t>A</t>
    </r>
  </si>
  <si>
    <r>
      <t>f/m</t>
    </r>
    <r>
      <rPr>
        <vertAlign val="superscript"/>
        <sz val="11"/>
        <color indexed="8"/>
        <rFont val="Calibri"/>
        <family val="2"/>
      </rPr>
      <t>3</t>
    </r>
  </si>
  <si>
    <t>Disease Endpoint</t>
  </si>
  <si>
    <t>Males</t>
  </si>
  <si>
    <t>Females</t>
  </si>
  <si>
    <t>Non-Smokers</t>
  </si>
  <si>
    <t>Smokers</t>
  </si>
  <si>
    <t>Lung Cancer</t>
  </si>
  <si>
    <t>Mesothelioma</t>
  </si>
  <si>
    <t>CHRYSOTILE</t>
  </si>
  <si>
    <t>AMPHIBOLE</t>
  </si>
  <si>
    <t>R-factor</t>
  </si>
  <si>
    <t>Exposure Frequency (EF)</t>
  </si>
  <si>
    <t>Exposure Duration (ED)</t>
  </si>
  <si>
    <t>Value by Scenario</t>
  </si>
  <si>
    <t>Construction</t>
  </si>
  <si>
    <t>Off-Site Residential</t>
  </si>
  <si>
    <t>Industrial-Commercial Worker</t>
  </si>
  <si>
    <t>Averaging Time (AT)</t>
  </si>
  <si>
    <t>years</t>
  </si>
  <si>
    <t>days/year</t>
  </si>
  <si>
    <t>unitless</t>
  </si>
  <si>
    <r>
      <t>(14) From USEPA 2002 - J'</t>
    </r>
    <r>
      <rPr>
        <vertAlign val="subscript"/>
        <sz val="9.5"/>
        <rFont val="Times New Roman"/>
        <family val="1"/>
      </rPr>
      <t>T</t>
    </r>
    <r>
      <rPr>
        <sz val="9.5"/>
        <rFont val="Times New Roman"/>
        <family val="1"/>
      </rPr>
      <t xml:space="preserve"> = (M</t>
    </r>
    <r>
      <rPr>
        <vertAlign val="subscript"/>
        <sz val="9.5"/>
        <rFont val="Times New Roman"/>
        <family val="1"/>
      </rPr>
      <t>wind</t>
    </r>
    <r>
      <rPr>
        <sz val="9.5"/>
        <rFont val="Times New Roman"/>
        <family val="1"/>
      </rPr>
      <t xml:space="preserve"> </t>
    </r>
    <r>
      <rPr>
        <sz val="9.5"/>
        <rFont val="Symbol"/>
        <family val="1"/>
      </rPr>
      <t>+</t>
    </r>
    <r>
      <rPr>
        <sz val="9.5"/>
        <rFont val="Times New Roman"/>
        <family val="1"/>
      </rPr>
      <t xml:space="preserve"> M</t>
    </r>
    <r>
      <rPr>
        <vertAlign val="subscript"/>
        <sz val="9.5"/>
        <rFont val="Times New Roman"/>
        <family val="1"/>
      </rPr>
      <t>excav</t>
    </r>
    <r>
      <rPr>
        <sz val="9.5"/>
        <rFont val="Times New Roman"/>
        <family val="1"/>
      </rPr>
      <t xml:space="preserve"> </t>
    </r>
    <r>
      <rPr>
        <sz val="9.5"/>
        <rFont val="Symbol"/>
        <family val="1"/>
      </rPr>
      <t>+</t>
    </r>
    <r>
      <rPr>
        <sz val="9.5"/>
        <rFont val="Times New Roman"/>
        <family val="1"/>
      </rPr>
      <t xml:space="preserve"> M</t>
    </r>
    <r>
      <rPr>
        <vertAlign val="subscript"/>
        <sz val="9.5"/>
        <rFont val="Times New Roman"/>
        <family val="1"/>
      </rPr>
      <t>doz</t>
    </r>
    <r>
      <rPr>
        <sz val="9.5"/>
        <rFont val="Times New Roman"/>
        <family val="1"/>
      </rPr>
      <t xml:space="preserve"> </t>
    </r>
    <r>
      <rPr>
        <sz val="9.5"/>
        <rFont val="Symbol"/>
        <family val="1"/>
      </rPr>
      <t>+</t>
    </r>
    <r>
      <rPr>
        <sz val="9.5"/>
        <rFont val="Times New Roman"/>
        <family val="1"/>
      </rPr>
      <t xml:space="preserve"> M</t>
    </r>
    <r>
      <rPr>
        <vertAlign val="subscript"/>
        <sz val="9.5"/>
        <rFont val="Times New Roman"/>
        <family val="1"/>
      </rPr>
      <t>grade</t>
    </r>
    <r>
      <rPr>
        <sz val="9.5"/>
        <rFont val="Times New Roman"/>
        <family val="1"/>
      </rPr>
      <t xml:space="preserve"> </t>
    </r>
    <r>
      <rPr>
        <sz val="9.5"/>
        <rFont val="Symbol"/>
        <family val="1"/>
      </rPr>
      <t>+</t>
    </r>
    <r>
      <rPr>
        <sz val="9.5"/>
        <rFont val="Times New Roman"/>
        <family val="1"/>
      </rPr>
      <t xml:space="preserve"> M</t>
    </r>
    <r>
      <rPr>
        <vertAlign val="subscript"/>
        <sz val="9.5"/>
        <rFont val="Times New Roman"/>
        <family val="1"/>
      </rPr>
      <t>till</t>
    </r>
    <r>
      <rPr>
        <sz val="9.5"/>
        <rFont val="Times New Roman"/>
        <family val="1"/>
      </rPr>
      <t>)/(A</t>
    </r>
    <r>
      <rPr>
        <vertAlign val="subscript"/>
        <sz val="9.5"/>
        <rFont val="Times New Roman"/>
        <family val="1"/>
      </rPr>
      <t>surf</t>
    </r>
    <r>
      <rPr>
        <sz val="9.5"/>
        <rFont val="Times New Roman"/>
        <family val="1"/>
      </rPr>
      <t xml:space="preserve"> </t>
    </r>
    <r>
      <rPr>
        <sz val="9.5"/>
        <rFont val="Symbol"/>
        <family val="1"/>
      </rPr>
      <t>´</t>
    </r>
    <r>
      <rPr>
        <sz val="9.5"/>
        <rFont val="Times New Roman"/>
        <family val="1"/>
      </rPr>
      <t xml:space="preserve"> T).</t>
    </r>
  </si>
  <si>
    <t>For example, 172 samples would be needed to achieve no greater than a 10-6 risk if zero amphibole fibers are observed (in total) for the construction worker scenario.</t>
    <phoneticPr fontId="65" type="noConversion"/>
  </si>
  <si>
    <t>Target risk thresholds are input in Row 8 for the 4 different scenarios.  These can be changed site specifically only with concurrence from NDEP.</t>
    <phoneticPr fontId="65" type="noConversion"/>
  </si>
  <si>
    <t>By comparison, only 2 samples would be needed similarly for chrysotile.</t>
    <phoneticPr fontId="65" type="noConversion"/>
  </si>
  <si>
    <t xml:space="preserve">Note that long fibers only are included in this worksheet.  </t>
    <phoneticPr fontId="65" type="noConversion"/>
  </si>
  <si>
    <r>
      <t>M</t>
    </r>
    <r>
      <rPr>
        <vertAlign val="subscript"/>
        <sz val="10"/>
        <rFont val="Times New Roman"/>
        <family val="1"/>
      </rPr>
      <t>excav</t>
    </r>
  </si>
  <si>
    <r>
      <t>r</t>
    </r>
    <r>
      <rPr>
        <vertAlign val="subscript"/>
        <sz val="10"/>
        <rFont val="Times New Roman"/>
        <family val="1"/>
      </rPr>
      <t>soil</t>
    </r>
  </si>
  <si>
    <r>
      <t>Mg/m</t>
    </r>
    <r>
      <rPr>
        <vertAlign val="superscript"/>
        <sz val="10"/>
        <rFont val="Times New Roman"/>
        <family val="1"/>
      </rPr>
      <t>3</t>
    </r>
  </si>
  <si>
    <t>M</t>
  </si>
  <si>
    <t>Casper, WY</t>
  </si>
  <si>
    <t>Charleston, SC</t>
  </si>
  <si>
    <t>Chicago, IL</t>
  </si>
  <si>
    <t>Cleveland, OH</t>
  </si>
  <si>
    <t>Denver, CO</t>
  </si>
  <si>
    <t>Fresno, CA</t>
  </si>
  <si>
    <t>Harrisburg, PA</t>
  </si>
  <si>
    <t>Hartford, CT</t>
  </si>
  <si>
    <t>Houston, TX</t>
  </si>
  <si>
    <t>Huntington, WV</t>
  </si>
  <si>
    <t>Las Vegas, NV</t>
  </si>
  <si>
    <t>Lincoln, NE</t>
  </si>
  <si>
    <t>Little Rock, AR</t>
  </si>
  <si>
    <t>Los Angeles, CA</t>
  </si>
  <si>
    <t>Miami, FL</t>
  </si>
  <si>
    <t>Minneapolis, MN</t>
  </si>
  <si>
    <t>Philadelphia, PA</t>
  </si>
  <si>
    <t>Phoenix, AZ</t>
  </si>
  <si>
    <t>Portland, ME</t>
  </si>
  <si>
    <t>Raleigh, NC</t>
  </si>
  <si>
    <t>Salem, OR</t>
  </si>
  <si>
    <t>Salt Lake City, UT</t>
  </si>
  <si>
    <t>San Francisco, CA</t>
  </si>
  <si>
    <t>Seattle, WA</t>
  </si>
  <si>
    <t>Winnemucca, NV</t>
  </si>
  <si>
    <t>Meteorological Station</t>
  </si>
  <si>
    <r>
      <t>Number of times soil is tilled</t>
    </r>
    <r>
      <rPr>
        <vertAlign val="superscript"/>
        <sz val="10"/>
        <rFont val="Times New Roman"/>
        <family val="1"/>
      </rPr>
      <t>(2)</t>
    </r>
  </si>
  <si>
    <r>
      <t>Total Time Averaged PM</t>
    </r>
    <r>
      <rPr>
        <b/>
        <vertAlign val="subscript"/>
        <sz val="10"/>
        <rFont val="Times New Roman"/>
        <family val="1"/>
      </rPr>
      <t>10</t>
    </r>
    <r>
      <rPr>
        <b/>
        <sz val="10"/>
        <rFont val="Times New Roman"/>
        <family val="1"/>
      </rPr>
      <t xml:space="preserve"> Emission</t>
    </r>
    <r>
      <rPr>
        <b/>
        <vertAlign val="superscript"/>
        <sz val="10"/>
        <rFont val="Times New Roman"/>
        <family val="1"/>
      </rPr>
      <t>(14)</t>
    </r>
  </si>
  <si>
    <t>g/m2-sec</t>
  </si>
  <si>
    <r>
      <t>Duration of construction</t>
    </r>
    <r>
      <rPr>
        <vertAlign val="superscript"/>
        <sz val="10"/>
        <rFont val="Times New Roman"/>
        <family val="1"/>
      </rPr>
      <t>(2)</t>
    </r>
  </si>
  <si>
    <t>sec</t>
  </si>
  <si>
    <r>
      <t>Subchronic Dispersion Factor for Area Source</t>
    </r>
    <r>
      <rPr>
        <b/>
        <vertAlign val="superscript"/>
        <sz val="10"/>
        <rFont val="Times New Roman"/>
        <family val="1"/>
      </rPr>
      <t>(15)</t>
    </r>
  </si>
  <si>
    <r>
      <t>g/m</t>
    </r>
    <r>
      <rPr>
        <vertAlign val="superscript"/>
        <sz val="10"/>
        <rFont val="Times New Roman"/>
        <family val="1"/>
      </rPr>
      <t>2</t>
    </r>
    <r>
      <rPr>
        <sz val="10"/>
        <rFont val="Times New Roman"/>
        <family val="1"/>
      </rPr>
      <t>-sec per kg/m</t>
    </r>
    <r>
      <rPr>
        <vertAlign val="superscript"/>
        <sz val="10"/>
        <rFont val="Times New Roman"/>
        <family val="1"/>
      </rPr>
      <t>3</t>
    </r>
  </si>
  <si>
    <r>
      <t>Constant A</t>
    </r>
    <r>
      <rPr>
        <vertAlign val="superscript"/>
        <sz val="10"/>
        <rFont val="Times New Roman"/>
        <family val="1"/>
      </rPr>
      <t>(2)</t>
    </r>
  </si>
  <si>
    <r>
      <t>Constant B</t>
    </r>
    <r>
      <rPr>
        <vertAlign val="superscript"/>
        <sz val="10"/>
        <rFont val="Times New Roman"/>
        <family val="1"/>
      </rPr>
      <t>(2)</t>
    </r>
  </si>
  <si>
    <r>
      <t>Constant C</t>
    </r>
    <r>
      <rPr>
        <vertAlign val="superscript"/>
        <sz val="10"/>
        <rFont val="Times New Roman"/>
        <family val="1"/>
      </rPr>
      <t>(2)</t>
    </r>
  </si>
  <si>
    <t>acres</t>
  </si>
  <si>
    <r>
      <t>Dispersion correction factor</t>
    </r>
    <r>
      <rPr>
        <b/>
        <vertAlign val="superscript"/>
        <sz val="10"/>
        <rFont val="Times New Roman"/>
        <family val="1"/>
      </rPr>
      <t>(16)</t>
    </r>
  </si>
  <si>
    <r>
      <t>Subchronic PEF for Construction Activities</t>
    </r>
    <r>
      <rPr>
        <b/>
        <vertAlign val="superscript"/>
        <sz val="10"/>
        <rFont val="Times New Roman"/>
        <family val="1"/>
      </rPr>
      <t>(17)</t>
    </r>
  </si>
  <si>
    <r>
      <t>PEF</t>
    </r>
    <r>
      <rPr>
        <b/>
        <vertAlign val="subscript"/>
        <sz val="10"/>
        <rFont val="Times New Roman"/>
        <family val="1"/>
      </rPr>
      <t>sc</t>
    </r>
  </si>
  <si>
    <t>Sample ID</t>
  </si>
  <si>
    <r>
      <t xml:space="preserve">  - M</t>
    </r>
    <r>
      <rPr>
        <vertAlign val="subscript"/>
        <sz val="9.5"/>
        <rFont val="Times New Roman"/>
        <family val="1"/>
      </rPr>
      <t>wind</t>
    </r>
    <r>
      <rPr>
        <sz val="9.5"/>
        <rFont val="Times New Roman"/>
        <family val="1"/>
      </rPr>
      <t xml:space="preserve"> = 0.036 </t>
    </r>
    <r>
      <rPr>
        <sz val="9.5"/>
        <rFont val="Symbol"/>
        <family val="1"/>
      </rPr>
      <t>´</t>
    </r>
    <r>
      <rPr>
        <sz val="9.5"/>
        <rFont val="Times New Roman"/>
        <family val="1"/>
      </rPr>
      <t xml:space="preserve"> (1-V) </t>
    </r>
    <r>
      <rPr>
        <sz val="9.5"/>
        <rFont val="Symbol"/>
        <family val="1"/>
      </rPr>
      <t>´</t>
    </r>
    <r>
      <rPr>
        <sz val="9.5"/>
        <rFont val="Times New Roman"/>
        <family val="1"/>
      </rPr>
      <t xml:space="preserve"> (U</t>
    </r>
    <r>
      <rPr>
        <vertAlign val="subscript"/>
        <sz val="9.5"/>
        <rFont val="Times New Roman"/>
        <family val="1"/>
      </rPr>
      <t>m</t>
    </r>
    <r>
      <rPr>
        <sz val="9.5"/>
        <rFont val="Times New Roman"/>
        <family val="1"/>
      </rPr>
      <t>/U</t>
    </r>
    <r>
      <rPr>
        <vertAlign val="subscript"/>
        <sz val="9.5"/>
        <rFont val="Times New Roman"/>
        <family val="1"/>
      </rPr>
      <t>t)</t>
    </r>
    <r>
      <rPr>
        <vertAlign val="superscript"/>
        <sz val="9.5"/>
        <rFont val="Times New Roman"/>
        <family val="1"/>
      </rPr>
      <t>3</t>
    </r>
    <r>
      <rPr>
        <sz val="9.5"/>
        <rFont val="Times New Roman"/>
        <family val="1"/>
      </rPr>
      <t xml:space="preserve"> </t>
    </r>
    <r>
      <rPr>
        <sz val="9.5"/>
        <rFont val="Symbol"/>
        <family val="1"/>
      </rPr>
      <t>´</t>
    </r>
    <r>
      <rPr>
        <sz val="9.5"/>
        <rFont val="Times New Roman"/>
        <family val="1"/>
      </rPr>
      <t xml:space="preserve"> F(x) </t>
    </r>
    <r>
      <rPr>
        <sz val="9.5"/>
        <rFont val="Symbol"/>
        <family val="1"/>
      </rPr>
      <t>´</t>
    </r>
    <r>
      <rPr>
        <sz val="9.5"/>
        <rFont val="Times New Roman"/>
        <family val="1"/>
      </rPr>
      <t xml:space="preserve"> A</t>
    </r>
    <r>
      <rPr>
        <vertAlign val="subscript"/>
        <sz val="9.5"/>
        <rFont val="Times New Roman"/>
        <family val="1"/>
      </rPr>
      <t>surf</t>
    </r>
    <r>
      <rPr>
        <sz val="9.5"/>
        <rFont val="Times New Roman"/>
        <family val="1"/>
      </rPr>
      <t xml:space="preserve"> </t>
    </r>
    <r>
      <rPr>
        <sz val="9.5"/>
        <rFont val="Symbol"/>
        <family val="1"/>
      </rPr>
      <t>´</t>
    </r>
    <r>
      <rPr>
        <sz val="9.5"/>
        <rFont val="Times New Roman"/>
        <family val="1"/>
      </rPr>
      <t xml:space="preserve"> ED </t>
    </r>
    <r>
      <rPr>
        <sz val="9.5"/>
        <rFont val="Symbol"/>
        <family val="1"/>
      </rPr>
      <t>´</t>
    </r>
    <r>
      <rPr>
        <sz val="9.5"/>
        <rFont val="Times New Roman"/>
        <family val="1"/>
      </rPr>
      <t xml:space="preserve"> 8760hr/yr.</t>
    </r>
  </si>
  <si>
    <r>
      <t xml:space="preserve">   C</t>
    </r>
    <r>
      <rPr>
        <b/>
        <i/>
        <vertAlign val="subscript"/>
        <sz val="11"/>
        <color indexed="8"/>
        <rFont val="Calibri"/>
        <family val="2"/>
      </rPr>
      <t>soil</t>
    </r>
    <r>
      <rPr>
        <b/>
        <i/>
        <sz val="11"/>
        <color indexed="8"/>
        <rFont val="Calibri"/>
        <family val="2"/>
      </rPr>
      <t xml:space="preserve"> = ((TR * AT)/(URF*ET*EF*ED))*PEF</t>
    </r>
  </si>
  <si>
    <t>(20) Average of site data in Table E-4.</t>
  </si>
  <si>
    <r>
      <t>(6) From USEPA 2002a - M</t>
    </r>
    <r>
      <rPr>
        <vertAlign val="subscript"/>
        <sz val="9.5"/>
        <rFont val="Times New Roman"/>
        <family val="1"/>
      </rPr>
      <t>excav</t>
    </r>
    <r>
      <rPr>
        <sz val="9.5"/>
        <rFont val="Times New Roman"/>
        <family val="1"/>
      </rPr>
      <t xml:space="preserve"> = 0.35 </t>
    </r>
    <r>
      <rPr>
        <sz val="9.5"/>
        <rFont val="Symbol"/>
        <family val="1"/>
      </rPr>
      <t>´</t>
    </r>
    <r>
      <rPr>
        <sz val="9.5"/>
        <rFont val="Times New Roman"/>
        <family val="1"/>
      </rPr>
      <t xml:space="preserve"> 0.0016 </t>
    </r>
    <r>
      <rPr>
        <sz val="9.5"/>
        <rFont val="Symbol"/>
        <family val="1"/>
      </rPr>
      <t>´</t>
    </r>
    <r>
      <rPr>
        <sz val="9.5"/>
        <rFont val="Times New Roman"/>
        <family val="1"/>
      </rPr>
      <t xml:space="preserve"> [(U</t>
    </r>
    <r>
      <rPr>
        <vertAlign val="subscript"/>
        <sz val="9.5"/>
        <rFont val="Times New Roman"/>
        <family val="1"/>
      </rPr>
      <t>m</t>
    </r>
    <r>
      <rPr>
        <sz val="9.5"/>
        <rFont val="Times New Roman"/>
        <family val="1"/>
      </rPr>
      <t>/2.2</t>
    </r>
    <r>
      <rPr>
        <vertAlign val="subscript"/>
        <sz val="9.5"/>
        <rFont val="Times New Roman"/>
        <family val="1"/>
      </rPr>
      <t>)</t>
    </r>
    <r>
      <rPr>
        <vertAlign val="superscript"/>
        <sz val="9.5"/>
        <rFont val="Times New Roman"/>
        <family val="1"/>
      </rPr>
      <t>1.3</t>
    </r>
    <r>
      <rPr>
        <sz val="9.5"/>
        <rFont val="Times New Roman"/>
        <family val="1"/>
      </rPr>
      <t>/(M/2)</t>
    </r>
    <r>
      <rPr>
        <vertAlign val="superscript"/>
        <sz val="9.5"/>
        <rFont val="Times New Roman"/>
        <family val="1"/>
      </rPr>
      <t>1.4</t>
    </r>
    <r>
      <rPr>
        <sz val="9.5"/>
        <rFont val="Times New Roman"/>
        <family val="1"/>
      </rPr>
      <t xml:space="preserve">] </t>
    </r>
    <r>
      <rPr>
        <sz val="9.5"/>
        <rFont val="Symbol"/>
        <family val="1"/>
      </rPr>
      <t>´</t>
    </r>
    <r>
      <rPr>
        <sz val="9.5"/>
        <rFont val="Times New Roman"/>
        <family val="1"/>
      </rPr>
      <t xml:space="preserve"> </t>
    </r>
    <r>
      <rPr>
        <sz val="9.5"/>
        <rFont val="Symbol"/>
        <family val="1"/>
      </rPr>
      <t>r</t>
    </r>
    <r>
      <rPr>
        <vertAlign val="subscript"/>
        <sz val="9.5"/>
        <rFont val="Times New Roman"/>
        <family val="1"/>
      </rPr>
      <t>soil</t>
    </r>
    <r>
      <rPr>
        <sz val="9.5"/>
        <rFont val="Times New Roman"/>
        <family val="1"/>
      </rPr>
      <t xml:space="preserve"> </t>
    </r>
    <r>
      <rPr>
        <sz val="9.5"/>
        <rFont val="Symbol"/>
        <family val="1"/>
      </rPr>
      <t>´</t>
    </r>
    <r>
      <rPr>
        <sz val="9.5"/>
        <rFont val="Times New Roman"/>
        <family val="1"/>
      </rPr>
      <t xml:space="preserve"> A</t>
    </r>
    <r>
      <rPr>
        <vertAlign val="subscript"/>
        <sz val="9.5"/>
        <rFont val="Times New Roman"/>
        <family val="1"/>
      </rPr>
      <t>excav</t>
    </r>
    <r>
      <rPr>
        <sz val="9.5"/>
        <rFont val="Times New Roman"/>
        <family val="1"/>
      </rPr>
      <t xml:space="preserve"> </t>
    </r>
    <r>
      <rPr>
        <sz val="9.5"/>
        <rFont val="Symbol"/>
        <family val="1"/>
      </rPr>
      <t>´</t>
    </r>
    <r>
      <rPr>
        <sz val="9.5"/>
        <rFont val="Times New Roman"/>
        <family val="1"/>
      </rPr>
      <t xml:space="preserve"> d</t>
    </r>
    <r>
      <rPr>
        <vertAlign val="subscript"/>
        <sz val="9.5"/>
        <rFont val="Times New Roman"/>
        <family val="1"/>
      </rPr>
      <t>excav</t>
    </r>
    <r>
      <rPr>
        <sz val="9.5"/>
        <rFont val="Times New Roman"/>
        <family val="1"/>
      </rPr>
      <t xml:space="preserve"> </t>
    </r>
    <r>
      <rPr>
        <sz val="9.5"/>
        <rFont val="Symbol"/>
        <family val="1"/>
      </rPr>
      <t>´</t>
    </r>
    <r>
      <rPr>
        <sz val="9.5"/>
        <rFont val="Times New Roman"/>
        <family val="1"/>
      </rPr>
      <t xml:space="preserve"> N</t>
    </r>
    <r>
      <rPr>
        <vertAlign val="subscript"/>
        <sz val="9.5"/>
        <rFont val="Times New Roman"/>
        <family val="1"/>
      </rPr>
      <t>A</t>
    </r>
    <r>
      <rPr>
        <sz val="9.5"/>
        <rFont val="Times New Roman"/>
        <family val="1"/>
      </rPr>
      <t xml:space="preserve"> </t>
    </r>
    <r>
      <rPr>
        <sz val="9.5"/>
        <rFont val="Symbol"/>
        <family val="1"/>
      </rPr>
      <t>´</t>
    </r>
    <r>
      <rPr>
        <sz val="9.5"/>
        <rFont val="Times New Roman"/>
        <family val="1"/>
      </rPr>
      <t xml:space="preserve"> 10</t>
    </r>
    <r>
      <rPr>
        <vertAlign val="superscript"/>
        <sz val="9.5"/>
        <rFont val="Times New Roman"/>
        <family val="1"/>
      </rPr>
      <t>3</t>
    </r>
    <r>
      <rPr>
        <sz val="9.5"/>
        <rFont val="Times New Roman"/>
        <family val="1"/>
      </rPr>
      <t>g/kg.</t>
    </r>
  </si>
  <si>
    <t>(9) Assumed value of one fifth of the site based upon USEPA (2002).</t>
  </si>
  <si>
    <t>(1) From USEPA. (2002). Supplemental Guidance for Developing Soil Screening Levels for Superfund Sites.</t>
  </si>
  <si>
    <t>(2) Assumed value for the site based upon USEPA (2002).</t>
  </si>
  <si>
    <t>(3) Based on long-term weather data for the area of interest - this value can change based on site specific characteristics</t>
  </si>
  <si>
    <r>
      <t>Total outdoor ambient air dust concentration</t>
    </r>
    <r>
      <rPr>
        <b/>
        <vertAlign val="superscript"/>
        <sz val="10"/>
        <rFont val="Times New Roman"/>
        <family val="1"/>
      </rPr>
      <t>(25)</t>
    </r>
  </si>
  <si>
    <r>
      <t>kg/m</t>
    </r>
    <r>
      <rPr>
        <b/>
        <vertAlign val="superscript"/>
        <sz val="10"/>
        <rFont val="Times New Roman"/>
        <family val="1"/>
      </rPr>
      <t>3</t>
    </r>
  </si>
  <si>
    <r>
      <t>Total construction related PEF</t>
    </r>
    <r>
      <rPr>
        <b/>
        <vertAlign val="superscript"/>
        <sz val="10"/>
        <rFont val="Times New Roman"/>
        <family val="1"/>
      </rPr>
      <t>(24)</t>
    </r>
  </si>
  <si>
    <r>
      <t>PEF</t>
    </r>
    <r>
      <rPr>
        <b/>
        <vertAlign val="subscript"/>
        <sz val="10"/>
        <rFont val="Times New Roman"/>
        <family val="1"/>
      </rPr>
      <t>sc_total</t>
    </r>
  </si>
  <si>
    <r>
      <t>PEF</t>
    </r>
    <r>
      <rPr>
        <b/>
        <vertAlign val="subscript"/>
        <sz val="10"/>
        <rFont val="Times New Roman"/>
        <family val="1"/>
      </rPr>
      <t>Worker</t>
    </r>
  </si>
  <si>
    <t>PARTICULATE EMISSION FACTOR (PEF) FOR OFF-SITE RESIDENTIAL SCENARIO</t>
  </si>
  <si>
    <t>PARTICULATE EMISSION FACTOR (PEF) FOR CONSTRUCTION SCENARIO</t>
  </si>
  <si>
    <t>PARTICULATE EMISSION FACTOR (PEF) FOR COMMERCIAL/INDUSTRIAL SCENARIO</t>
  </si>
  <si>
    <t>Combined</t>
  </si>
  <si>
    <r>
      <t>(10) From USEPA 2002 - M</t>
    </r>
    <r>
      <rPr>
        <vertAlign val="subscript"/>
        <sz val="9.5"/>
        <rFont val="Times New Roman"/>
        <family val="1"/>
      </rPr>
      <t>doz</t>
    </r>
    <r>
      <rPr>
        <sz val="9.5"/>
        <rFont val="Times New Roman"/>
        <family val="1"/>
      </rPr>
      <t xml:space="preserve"> = 0.75 </t>
    </r>
    <r>
      <rPr>
        <sz val="9.5"/>
        <rFont val="Symbol"/>
        <family val="1"/>
      </rPr>
      <t>´</t>
    </r>
    <r>
      <rPr>
        <sz val="9.5"/>
        <rFont val="Times New Roman"/>
        <family val="1"/>
      </rPr>
      <t xml:space="preserve"> [(0.45 </t>
    </r>
    <r>
      <rPr>
        <sz val="9.5"/>
        <rFont val="Symbol"/>
        <family val="1"/>
      </rPr>
      <t>´</t>
    </r>
    <r>
      <rPr>
        <sz val="9.5"/>
        <rFont val="Times New Roman"/>
        <family val="1"/>
      </rPr>
      <t xml:space="preserve"> s</t>
    </r>
    <r>
      <rPr>
        <vertAlign val="superscript"/>
        <sz val="9.5"/>
        <rFont val="Times New Roman"/>
        <family val="1"/>
      </rPr>
      <t>1.5</t>
    </r>
    <r>
      <rPr>
        <sz val="9.5"/>
        <rFont val="Times New Roman"/>
        <family val="1"/>
      </rPr>
      <t>)/(M)</t>
    </r>
    <r>
      <rPr>
        <vertAlign val="superscript"/>
        <sz val="9.5"/>
        <rFont val="Times New Roman"/>
        <family val="1"/>
      </rPr>
      <t>1.4</t>
    </r>
    <r>
      <rPr>
        <sz val="9.5"/>
        <rFont val="Times New Roman"/>
        <family val="1"/>
      </rPr>
      <t xml:space="preserve">] </t>
    </r>
    <r>
      <rPr>
        <sz val="9.5"/>
        <rFont val="Symbol"/>
        <family val="1"/>
      </rPr>
      <t>´</t>
    </r>
    <r>
      <rPr>
        <sz val="9.5"/>
        <rFont val="Times New Roman"/>
        <family val="1"/>
      </rPr>
      <t xml:space="preserve"> </t>
    </r>
    <r>
      <rPr>
        <sz val="9.5"/>
        <rFont val="Arial"/>
        <family val="2"/>
      </rPr>
      <t>∑</t>
    </r>
    <r>
      <rPr>
        <sz val="9.5"/>
        <rFont val="Times New Roman"/>
        <family val="1"/>
      </rPr>
      <t>VKT</t>
    </r>
    <r>
      <rPr>
        <vertAlign val="subscript"/>
        <sz val="9.5"/>
        <rFont val="Times New Roman"/>
        <family val="1"/>
      </rPr>
      <t>doz</t>
    </r>
    <r>
      <rPr>
        <sz val="9.5"/>
        <rFont val="Times New Roman"/>
        <family val="1"/>
      </rPr>
      <t>/S</t>
    </r>
    <r>
      <rPr>
        <vertAlign val="subscript"/>
        <sz val="9.5"/>
        <rFont val="Times New Roman"/>
        <family val="1"/>
      </rPr>
      <t>doz</t>
    </r>
    <r>
      <rPr>
        <sz val="9.5"/>
        <rFont val="Times New Roman"/>
        <family val="1"/>
      </rPr>
      <t xml:space="preserve"> </t>
    </r>
    <r>
      <rPr>
        <sz val="9.5"/>
        <rFont val="Symbol"/>
        <family val="1"/>
      </rPr>
      <t>´</t>
    </r>
    <r>
      <rPr>
        <sz val="9.5"/>
        <rFont val="Times New Roman"/>
        <family val="1"/>
      </rPr>
      <t xml:space="preserve"> 10</t>
    </r>
    <r>
      <rPr>
        <vertAlign val="superscript"/>
        <sz val="9.5"/>
        <rFont val="Times New Roman"/>
        <family val="1"/>
      </rPr>
      <t>3</t>
    </r>
    <r>
      <rPr>
        <sz val="9.5"/>
        <rFont val="Times New Roman"/>
        <family val="1"/>
      </rPr>
      <t>g/kg.</t>
    </r>
  </si>
  <si>
    <r>
      <t>(11) From USEPA 2002 - VKT</t>
    </r>
    <r>
      <rPr>
        <vertAlign val="subscript"/>
        <sz val="9.5"/>
        <rFont val="Times New Roman"/>
        <family val="1"/>
      </rPr>
      <t>doz</t>
    </r>
    <r>
      <rPr>
        <sz val="9.5"/>
        <rFont val="Times New Roman"/>
        <family val="1"/>
      </rPr>
      <t xml:space="preserve"> = [(A</t>
    </r>
    <r>
      <rPr>
        <vertAlign val="subscript"/>
        <sz val="9.5"/>
        <rFont val="Times New Roman"/>
        <family val="1"/>
      </rPr>
      <t>surf</t>
    </r>
    <r>
      <rPr>
        <vertAlign val="superscript"/>
        <sz val="9.5"/>
        <rFont val="Times New Roman"/>
        <family val="1"/>
      </rPr>
      <t>0.5</t>
    </r>
    <r>
      <rPr>
        <sz val="9.5"/>
        <rFont val="Times New Roman"/>
        <family val="1"/>
      </rPr>
      <t xml:space="preserve">/2.44m) </t>
    </r>
    <r>
      <rPr>
        <sz val="9.5"/>
        <rFont val="Symbol"/>
        <family val="1"/>
      </rPr>
      <t>´</t>
    </r>
    <r>
      <rPr>
        <sz val="9.5"/>
        <rFont val="Times New Roman"/>
        <family val="1"/>
      </rPr>
      <t xml:space="preserve"> A</t>
    </r>
    <r>
      <rPr>
        <vertAlign val="subscript"/>
        <sz val="9.5"/>
        <rFont val="Times New Roman"/>
        <family val="1"/>
      </rPr>
      <t>surf</t>
    </r>
    <r>
      <rPr>
        <vertAlign val="superscript"/>
        <sz val="9.5"/>
        <rFont val="Times New Roman"/>
        <family val="1"/>
      </rPr>
      <t>0.5</t>
    </r>
    <r>
      <rPr>
        <sz val="9.5"/>
        <rFont val="Times New Roman"/>
        <family val="1"/>
      </rPr>
      <t xml:space="preserve"> </t>
    </r>
    <r>
      <rPr>
        <sz val="9.5"/>
        <rFont val="Symbol"/>
        <family val="1"/>
      </rPr>
      <t>´</t>
    </r>
    <r>
      <rPr>
        <sz val="9.5"/>
        <rFont val="Times New Roman"/>
        <family val="1"/>
      </rPr>
      <t xml:space="preserve"> 3]/1,000 m/km.</t>
    </r>
  </si>
  <si>
    <r>
      <t>(12) From USEPA 2002 - M</t>
    </r>
    <r>
      <rPr>
        <vertAlign val="subscript"/>
        <sz val="9.5"/>
        <rFont val="Times New Roman"/>
        <family val="1"/>
      </rPr>
      <t>grade</t>
    </r>
    <r>
      <rPr>
        <sz val="9.5"/>
        <rFont val="Times New Roman"/>
        <family val="1"/>
      </rPr>
      <t xml:space="preserve"> = 0.60 </t>
    </r>
    <r>
      <rPr>
        <sz val="9.5"/>
        <rFont val="Symbol"/>
        <family val="1"/>
      </rPr>
      <t>´</t>
    </r>
    <r>
      <rPr>
        <sz val="9.5"/>
        <rFont val="Times New Roman"/>
        <family val="1"/>
      </rPr>
      <t xml:space="preserve"> (0.0056 </t>
    </r>
    <r>
      <rPr>
        <sz val="9.5"/>
        <rFont val="Symbol"/>
        <family val="1"/>
      </rPr>
      <t>´</t>
    </r>
    <r>
      <rPr>
        <sz val="9.5"/>
        <rFont val="Times New Roman"/>
        <family val="1"/>
      </rPr>
      <t xml:space="preserve"> S</t>
    </r>
    <r>
      <rPr>
        <vertAlign val="superscript"/>
        <sz val="9.5"/>
        <rFont val="Times New Roman"/>
        <family val="1"/>
      </rPr>
      <t>2.0</t>
    </r>
    <r>
      <rPr>
        <sz val="9.5"/>
        <rFont val="Times New Roman"/>
        <family val="1"/>
      </rPr>
      <t xml:space="preserve">) </t>
    </r>
    <r>
      <rPr>
        <sz val="9.5"/>
        <rFont val="Symbol"/>
        <family val="1"/>
      </rPr>
      <t>´</t>
    </r>
    <r>
      <rPr>
        <sz val="9.5"/>
        <rFont val="Times New Roman"/>
        <family val="1"/>
      </rPr>
      <t xml:space="preserve"> </t>
    </r>
    <r>
      <rPr>
        <sz val="9.5"/>
        <rFont val="Arial"/>
        <family val="2"/>
      </rPr>
      <t>∑</t>
    </r>
    <r>
      <rPr>
        <sz val="9.5"/>
        <rFont val="Times New Roman"/>
        <family val="1"/>
      </rPr>
      <t>VKT</t>
    </r>
    <r>
      <rPr>
        <vertAlign val="subscript"/>
        <sz val="9.5"/>
        <rFont val="Times New Roman"/>
        <family val="1"/>
      </rPr>
      <t>grade</t>
    </r>
    <r>
      <rPr>
        <sz val="9.5"/>
        <rFont val="Times New Roman"/>
        <family val="1"/>
      </rPr>
      <t xml:space="preserve"> </t>
    </r>
    <r>
      <rPr>
        <sz val="9.5"/>
        <rFont val="Symbol"/>
        <family val="1"/>
      </rPr>
      <t>´</t>
    </r>
    <r>
      <rPr>
        <sz val="9.5"/>
        <rFont val="Times New Roman"/>
        <family val="1"/>
      </rPr>
      <t xml:space="preserve"> 10</t>
    </r>
    <r>
      <rPr>
        <vertAlign val="superscript"/>
        <sz val="9.5"/>
        <rFont val="Times New Roman"/>
        <family val="1"/>
      </rPr>
      <t>3</t>
    </r>
    <r>
      <rPr>
        <sz val="9.5"/>
        <rFont val="Times New Roman"/>
        <family val="1"/>
      </rPr>
      <t>g/kg.</t>
    </r>
  </si>
  <si>
    <r>
      <t>(13) From USEPA 2002 - M</t>
    </r>
    <r>
      <rPr>
        <vertAlign val="subscript"/>
        <sz val="9.5"/>
        <rFont val="Times New Roman"/>
        <family val="1"/>
      </rPr>
      <t>till</t>
    </r>
    <r>
      <rPr>
        <sz val="9.5"/>
        <rFont val="Times New Roman"/>
        <family val="1"/>
      </rPr>
      <t xml:space="preserve"> = 1.1 </t>
    </r>
    <r>
      <rPr>
        <sz val="9.5"/>
        <rFont val="Symbol"/>
        <family val="1"/>
      </rPr>
      <t>´</t>
    </r>
    <r>
      <rPr>
        <sz val="9.5"/>
        <rFont val="Times New Roman"/>
        <family val="1"/>
      </rPr>
      <t xml:space="preserve"> s</t>
    </r>
    <r>
      <rPr>
        <vertAlign val="superscript"/>
        <sz val="9.5"/>
        <rFont val="Times New Roman"/>
        <family val="1"/>
      </rPr>
      <t>0.6</t>
    </r>
    <r>
      <rPr>
        <sz val="9.5"/>
        <rFont val="Times New Roman"/>
        <family val="1"/>
      </rPr>
      <t xml:space="preserve"> </t>
    </r>
    <r>
      <rPr>
        <sz val="9.5"/>
        <rFont val="Symbol"/>
        <family val="1"/>
      </rPr>
      <t>´</t>
    </r>
    <r>
      <rPr>
        <sz val="9.5"/>
        <rFont val="Times New Roman"/>
        <family val="1"/>
      </rPr>
      <t xml:space="preserve"> A</t>
    </r>
    <r>
      <rPr>
        <vertAlign val="subscript"/>
        <sz val="9.5"/>
        <rFont val="Times New Roman"/>
        <family val="1"/>
      </rPr>
      <t>till</t>
    </r>
    <r>
      <rPr>
        <sz val="9.5"/>
        <rFont val="Times New Roman"/>
        <family val="1"/>
      </rPr>
      <t xml:space="preserve"> </t>
    </r>
    <r>
      <rPr>
        <sz val="9.5"/>
        <rFont val="Symbol"/>
        <family val="1"/>
      </rPr>
      <t>´</t>
    </r>
    <r>
      <rPr>
        <sz val="9.5"/>
        <rFont val="Times New Roman"/>
        <family val="1"/>
      </rPr>
      <t xml:space="preserve"> 4,047m</t>
    </r>
    <r>
      <rPr>
        <vertAlign val="superscript"/>
        <sz val="9.5"/>
        <rFont val="Times New Roman"/>
        <family val="1"/>
      </rPr>
      <t>2</t>
    </r>
    <r>
      <rPr>
        <sz val="9.5"/>
        <rFont val="Times New Roman"/>
        <family val="1"/>
      </rPr>
      <t xml:space="preserve">/acre </t>
    </r>
    <r>
      <rPr>
        <sz val="9.5"/>
        <rFont val="Symbol"/>
        <family val="1"/>
      </rPr>
      <t>´</t>
    </r>
    <r>
      <rPr>
        <sz val="9.5"/>
        <rFont val="Times New Roman"/>
        <family val="1"/>
      </rPr>
      <t xml:space="preserve"> 10</t>
    </r>
    <r>
      <rPr>
        <vertAlign val="superscript"/>
        <sz val="9.5"/>
        <rFont val="Times New Roman"/>
        <family val="1"/>
      </rPr>
      <t>-4</t>
    </r>
    <r>
      <rPr>
        <sz val="9.5"/>
        <rFont val="Times New Roman"/>
        <family val="1"/>
      </rPr>
      <t>ha/m</t>
    </r>
    <r>
      <rPr>
        <vertAlign val="superscript"/>
        <sz val="9.5"/>
        <rFont val="Times New Roman"/>
        <family val="1"/>
      </rPr>
      <t>2</t>
    </r>
    <r>
      <rPr>
        <sz val="9.5"/>
        <rFont val="Times New Roman"/>
        <family val="1"/>
      </rPr>
      <t xml:space="preserve"> </t>
    </r>
    <r>
      <rPr>
        <sz val="9.5"/>
        <rFont val="Symbol"/>
        <family val="1"/>
      </rPr>
      <t>´</t>
    </r>
    <r>
      <rPr>
        <sz val="9.5"/>
        <rFont val="Times New Roman"/>
        <family val="1"/>
      </rPr>
      <t xml:space="preserve"> 10</t>
    </r>
    <r>
      <rPr>
        <vertAlign val="superscript"/>
        <sz val="9.5"/>
        <rFont val="Times New Roman"/>
        <family val="1"/>
      </rPr>
      <t>3</t>
    </r>
    <r>
      <rPr>
        <sz val="9.5"/>
        <rFont val="Times New Roman"/>
        <family val="1"/>
      </rPr>
      <t xml:space="preserve">g/kg </t>
    </r>
    <r>
      <rPr>
        <sz val="9.5"/>
        <rFont val="Symbol"/>
        <family val="1"/>
      </rPr>
      <t>´</t>
    </r>
    <r>
      <rPr>
        <sz val="9.5"/>
        <rFont val="Times New Roman"/>
        <family val="1"/>
      </rPr>
      <t xml:space="preserve"> N</t>
    </r>
    <r>
      <rPr>
        <vertAlign val="subscript"/>
        <sz val="9.5"/>
        <rFont val="Times New Roman"/>
        <family val="1"/>
      </rPr>
      <t>A</t>
    </r>
    <r>
      <rPr>
        <sz val="9.5"/>
        <rFont val="Times New Roman"/>
        <family val="1"/>
      </rPr>
      <t>.</t>
    </r>
  </si>
  <si>
    <r>
      <t>(15) From USEPA 2002 - Q/C</t>
    </r>
    <r>
      <rPr>
        <vertAlign val="subscript"/>
        <sz val="9.5"/>
        <rFont val="Times New Roman"/>
        <family val="1"/>
      </rPr>
      <t>sa</t>
    </r>
    <r>
      <rPr>
        <sz val="9.5"/>
        <rFont val="Times New Roman"/>
        <family val="1"/>
      </rPr>
      <t xml:space="preserve"> = A </t>
    </r>
    <r>
      <rPr>
        <sz val="9.5"/>
        <rFont val="Symbol"/>
        <family val="1"/>
      </rPr>
      <t>´</t>
    </r>
    <r>
      <rPr>
        <sz val="9.5"/>
        <rFont val="Times New Roman"/>
        <family val="1"/>
      </rPr>
      <t xml:space="preserve"> exp[(ln(A</t>
    </r>
    <r>
      <rPr>
        <vertAlign val="subscript"/>
        <sz val="9.5"/>
        <rFont val="Times New Roman"/>
        <family val="1"/>
      </rPr>
      <t>surf</t>
    </r>
    <r>
      <rPr>
        <sz val="9.5"/>
        <rFont val="Times New Roman"/>
        <family val="1"/>
      </rPr>
      <t xml:space="preserve">) </t>
    </r>
    <r>
      <rPr>
        <sz val="9.5"/>
        <rFont val="Symbol"/>
        <family val="1"/>
      </rPr>
      <t>-</t>
    </r>
    <r>
      <rPr>
        <sz val="9.5"/>
        <rFont val="Times New Roman"/>
        <family val="1"/>
      </rPr>
      <t xml:space="preserve"> B)</t>
    </r>
    <r>
      <rPr>
        <vertAlign val="superscript"/>
        <sz val="9.5"/>
        <rFont val="Times New Roman"/>
        <family val="1"/>
      </rPr>
      <t>2</t>
    </r>
    <r>
      <rPr>
        <sz val="9.5"/>
        <rFont val="Times New Roman"/>
        <family val="1"/>
      </rPr>
      <t>/C].</t>
    </r>
  </si>
  <si>
    <r>
      <t>Fraction of vegetative cover</t>
    </r>
    <r>
      <rPr>
        <vertAlign val="superscript"/>
        <sz val="10"/>
        <rFont val="Times New Roman"/>
        <family val="1"/>
      </rPr>
      <t>(2)</t>
    </r>
  </si>
  <si>
    <t>V</t>
  </si>
  <si>
    <t>--</t>
  </si>
  <si>
    <r>
      <t>Mean annual wind speed</t>
    </r>
    <r>
      <rPr>
        <vertAlign val="superscript"/>
        <sz val="10"/>
        <rFont val="Times New Roman"/>
        <family val="1"/>
      </rPr>
      <t>(3)</t>
    </r>
  </si>
  <si>
    <r>
      <t>U</t>
    </r>
    <r>
      <rPr>
        <vertAlign val="subscript"/>
        <sz val="10"/>
        <rFont val="Times New Roman"/>
        <family val="1"/>
      </rPr>
      <t>m</t>
    </r>
  </si>
  <si>
    <t>m/s</t>
  </si>
  <si>
    <r>
      <t>Equivalent threshold value of wind speed</t>
    </r>
    <r>
      <rPr>
        <vertAlign val="superscript"/>
        <sz val="10"/>
        <rFont val="Times New Roman"/>
        <family val="1"/>
      </rPr>
      <t>(2)</t>
    </r>
  </si>
  <si>
    <r>
      <t>U</t>
    </r>
    <r>
      <rPr>
        <vertAlign val="subscript"/>
        <sz val="10"/>
        <rFont val="Times New Roman"/>
        <family val="1"/>
      </rPr>
      <t>t</t>
    </r>
  </si>
  <si>
    <r>
      <t>Function dependent on U/U</t>
    </r>
    <r>
      <rPr>
        <vertAlign val="subscript"/>
        <sz val="10"/>
        <rFont val="Times New Roman"/>
        <family val="1"/>
      </rPr>
      <t>t</t>
    </r>
    <r>
      <rPr>
        <vertAlign val="superscript"/>
        <sz val="10"/>
        <rFont val="Times New Roman"/>
        <family val="1"/>
      </rPr>
      <t>(2)</t>
    </r>
  </si>
  <si>
    <t>F(x)</t>
  </si>
  <si>
    <r>
      <t>Areal Extent of site surface contamination</t>
    </r>
    <r>
      <rPr>
        <vertAlign val="superscript"/>
        <sz val="10"/>
        <rFont val="Times New Roman"/>
        <family val="1"/>
      </rPr>
      <t>(4)</t>
    </r>
  </si>
  <si>
    <r>
      <t>A</t>
    </r>
    <r>
      <rPr>
        <vertAlign val="subscript"/>
        <sz val="10"/>
        <rFont val="Times New Roman"/>
        <family val="1"/>
      </rPr>
      <t>surf</t>
    </r>
  </si>
  <si>
    <r>
      <t>m</t>
    </r>
    <r>
      <rPr>
        <vertAlign val="superscript"/>
        <sz val="10"/>
        <rFont val="Times New Roman"/>
        <family val="1"/>
      </rPr>
      <t>2</t>
    </r>
  </si>
  <si>
    <r>
      <t>Exposure duration</t>
    </r>
    <r>
      <rPr>
        <vertAlign val="superscript"/>
        <sz val="10"/>
        <rFont val="Times New Roman"/>
        <family val="1"/>
      </rPr>
      <t>(5)</t>
    </r>
  </si>
  <si>
    <t>ED</t>
  </si>
  <si>
    <t>year</t>
  </si>
  <si>
    <r>
      <t>Q/C</t>
    </r>
    <r>
      <rPr>
        <b/>
        <vertAlign val="subscript"/>
        <sz val="10"/>
        <rFont val="Times New Roman"/>
        <family val="1"/>
      </rPr>
      <t>wind</t>
    </r>
  </si>
  <si>
    <r>
      <t>Q/C</t>
    </r>
    <r>
      <rPr>
        <b/>
        <vertAlign val="subscript"/>
        <sz val="10"/>
        <rFont val="Times New Roman"/>
        <family val="1"/>
      </rPr>
      <t>OFF</t>
    </r>
  </si>
  <si>
    <r>
      <t>J'</t>
    </r>
    <r>
      <rPr>
        <b/>
        <vertAlign val="subscript"/>
        <sz val="10"/>
        <rFont val="Times New Roman"/>
        <family val="1"/>
      </rPr>
      <t>T</t>
    </r>
    <r>
      <rPr>
        <b/>
        <vertAlign val="superscript"/>
        <sz val="10"/>
        <rFont val="Times New Roman"/>
        <family val="1"/>
      </rPr>
      <t>OFF</t>
    </r>
  </si>
  <si>
    <t>Albuquerque, NM</t>
  </si>
  <si>
    <t>Atlanta, GA</t>
  </si>
  <si>
    <t>Bismarck, ND</t>
  </si>
  <si>
    <t>Boise, ID</t>
  </si>
  <si>
    <r>
      <t>(16) From USEPA 2002 - F</t>
    </r>
    <r>
      <rPr>
        <vertAlign val="subscript"/>
        <sz val="9.5"/>
        <rFont val="Times New Roman"/>
        <family val="1"/>
      </rPr>
      <t>D</t>
    </r>
    <r>
      <rPr>
        <sz val="9.5"/>
        <rFont val="Times New Roman"/>
        <family val="1"/>
      </rPr>
      <t xml:space="preserve"> = 0.1852 + (5.3537/t</t>
    </r>
    <r>
      <rPr>
        <vertAlign val="subscript"/>
        <sz val="9.5"/>
        <rFont val="Times New Roman"/>
        <family val="1"/>
      </rPr>
      <t>c</t>
    </r>
    <r>
      <rPr>
        <sz val="9.5"/>
        <rFont val="Times New Roman"/>
        <family val="1"/>
      </rPr>
      <t>)+(-9.6318/t</t>
    </r>
    <r>
      <rPr>
        <vertAlign val="subscript"/>
        <sz val="9.5"/>
        <rFont val="Times New Roman"/>
        <family val="1"/>
      </rPr>
      <t>c</t>
    </r>
    <r>
      <rPr>
        <vertAlign val="superscript"/>
        <sz val="9.5"/>
        <rFont val="Times New Roman"/>
        <family val="1"/>
      </rPr>
      <t>2</t>
    </r>
    <r>
      <rPr>
        <sz val="9.5"/>
        <rFont val="Times New Roman"/>
        <family val="1"/>
      </rPr>
      <t>), t</t>
    </r>
    <r>
      <rPr>
        <vertAlign val="subscript"/>
        <sz val="9.5"/>
        <rFont val="Times New Roman"/>
        <family val="1"/>
      </rPr>
      <t>c</t>
    </r>
    <r>
      <rPr>
        <sz val="9.5"/>
        <rFont val="Times New Roman"/>
        <family val="1"/>
      </rPr>
      <t xml:space="preserve"> = T/(3,600sec/hour).</t>
    </r>
  </si>
  <si>
    <r>
      <t>Soil Concentration (C</t>
    </r>
    <r>
      <rPr>
        <b/>
        <vertAlign val="subscript"/>
        <sz val="11"/>
        <color indexed="8"/>
        <rFont val="Calibri"/>
        <family val="2"/>
      </rPr>
      <t>s</t>
    </r>
    <r>
      <rPr>
        <b/>
        <sz val="11"/>
        <color indexed="8"/>
        <rFont val="Calibri"/>
        <family val="2"/>
      </rPr>
      <t>) Parameters</t>
    </r>
  </si>
  <si>
    <t>Unitless</t>
  </si>
  <si>
    <r>
      <t>UCL</t>
    </r>
    <r>
      <rPr>
        <vertAlign val="superscript"/>
        <sz val="8"/>
        <color indexed="8"/>
        <rFont val="Calibri"/>
        <family val="2"/>
      </rPr>
      <t>1</t>
    </r>
  </si>
  <si>
    <t>---------</t>
  </si>
  <si>
    <t>Total Structures</t>
  </si>
  <si>
    <t>Based on Table 8-2 ("Expected")</t>
  </si>
  <si>
    <t>(18) Assumed value of the square root of the site area, based upon USEPA (2002).</t>
  </si>
  <si>
    <r>
      <t>(21) From USEPA 2002 - VKT</t>
    </r>
    <r>
      <rPr>
        <vertAlign val="subscript"/>
        <sz val="9.5"/>
        <rFont val="Times New Roman"/>
        <family val="1"/>
      </rPr>
      <t>road</t>
    </r>
    <r>
      <rPr>
        <sz val="9.5"/>
        <rFont val="Times New Roman"/>
        <family val="1"/>
      </rPr>
      <t xml:space="preserve"> = 30 vehicles </t>
    </r>
    <r>
      <rPr>
        <sz val="9.5"/>
        <rFont val="Symbol"/>
        <family val="1"/>
      </rPr>
      <t>´</t>
    </r>
    <r>
      <rPr>
        <sz val="9.5"/>
        <rFont val="Times New Roman"/>
        <family val="1"/>
      </rPr>
      <t xml:space="preserve"> L</t>
    </r>
    <r>
      <rPr>
        <vertAlign val="subscript"/>
        <sz val="9.5"/>
        <rFont val="Times New Roman"/>
        <family val="1"/>
      </rPr>
      <t>R</t>
    </r>
    <r>
      <rPr>
        <sz val="9.5"/>
        <rFont val="Times New Roman"/>
        <family val="1"/>
      </rPr>
      <t xml:space="preserve"> </t>
    </r>
    <r>
      <rPr>
        <sz val="9.5"/>
        <rFont val="Symbol"/>
        <family val="1"/>
      </rPr>
      <t>´</t>
    </r>
    <r>
      <rPr>
        <sz val="9.5"/>
        <rFont val="Times New Roman"/>
        <family val="1"/>
      </rPr>
      <t xml:space="preserve"> [(52 wks/yr)/2] </t>
    </r>
    <r>
      <rPr>
        <sz val="9.5"/>
        <rFont val="Symbol"/>
        <family val="1"/>
      </rPr>
      <t>´</t>
    </r>
    <r>
      <rPr>
        <sz val="9.5"/>
        <rFont val="Times New Roman"/>
        <family val="1"/>
      </rPr>
      <t xml:space="preserve"> (5 days/week) / (1000 m/km).</t>
    </r>
  </si>
  <si>
    <r>
      <t>(22) From USEPA 2002 - Q/C</t>
    </r>
    <r>
      <rPr>
        <vertAlign val="subscript"/>
        <sz val="9.5"/>
        <rFont val="Times New Roman"/>
        <family val="1"/>
      </rPr>
      <t>sr</t>
    </r>
    <r>
      <rPr>
        <sz val="9.5"/>
        <rFont val="Times New Roman"/>
        <family val="1"/>
      </rPr>
      <t xml:space="preserve"> = A </t>
    </r>
    <r>
      <rPr>
        <sz val="9.5"/>
        <rFont val="Symbol"/>
        <family val="1"/>
      </rPr>
      <t>´</t>
    </r>
    <r>
      <rPr>
        <sz val="9.5"/>
        <rFont val="Times New Roman"/>
        <family val="1"/>
      </rPr>
      <t xml:space="preserve"> exp[(ln(A</t>
    </r>
    <r>
      <rPr>
        <vertAlign val="subscript"/>
        <sz val="9.5"/>
        <rFont val="Times New Roman"/>
        <family val="1"/>
      </rPr>
      <t>surf</t>
    </r>
    <r>
      <rPr>
        <sz val="9.5"/>
        <rFont val="Times New Roman"/>
        <family val="1"/>
      </rPr>
      <t xml:space="preserve">) </t>
    </r>
    <r>
      <rPr>
        <sz val="9.5"/>
        <rFont val="Symbol"/>
        <family val="1"/>
      </rPr>
      <t>-</t>
    </r>
    <r>
      <rPr>
        <sz val="9.5"/>
        <rFont val="Times New Roman"/>
        <family val="1"/>
      </rPr>
      <t xml:space="preserve"> B)</t>
    </r>
    <r>
      <rPr>
        <vertAlign val="superscript"/>
        <sz val="9.5"/>
        <rFont val="Times New Roman"/>
        <family val="1"/>
      </rPr>
      <t>2</t>
    </r>
    <r>
      <rPr>
        <sz val="9.5"/>
        <rFont val="Times New Roman"/>
        <family val="1"/>
      </rPr>
      <t>/C].</t>
    </r>
  </si>
  <si>
    <r>
      <t>(23) From USEPA 2002 - PEF</t>
    </r>
    <r>
      <rPr>
        <vertAlign val="subscript"/>
        <sz val="9.5"/>
        <rFont val="Times New Roman"/>
        <family val="1"/>
      </rPr>
      <t>sc_road</t>
    </r>
    <r>
      <rPr>
        <sz val="9.5"/>
        <rFont val="Times New Roman"/>
        <family val="1"/>
      </rPr>
      <t xml:space="preserve"> = Q/C</t>
    </r>
    <r>
      <rPr>
        <vertAlign val="subscript"/>
        <sz val="9.5"/>
        <rFont val="Times New Roman"/>
        <family val="1"/>
      </rPr>
      <t>sr</t>
    </r>
    <r>
      <rPr>
        <sz val="9.5"/>
        <rFont val="Times New Roman"/>
        <family val="1"/>
      </rPr>
      <t xml:space="preserve"> </t>
    </r>
    <r>
      <rPr>
        <sz val="9.5"/>
        <rFont val="Symbol"/>
        <family val="1"/>
      </rPr>
      <t>´</t>
    </r>
    <r>
      <rPr>
        <sz val="9.5"/>
        <rFont val="Times New Roman"/>
        <family val="1"/>
      </rPr>
      <t xml:space="preserve"> (1/F</t>
    </r>
    <r>
      <rPr>
        <vertAlign val="subscript"/>
        <sz val="9.5"/>
        <rFont val="Times New Roman"/>
        <family val="1"/>
      </rPr>
      <t>D</t>
    </r>
    <r>
      <rPr>
        <sz val="9.5"/>
        <rFont val="Times New Roman"/>
        <family val="1"/>
      </rPr>
      <t xml:space="preserve">) </t>
    </r>
    <r>
      <rPr>
        <sz val="9.5"/>
        <rFont val="Symbol"/>
        <family val="1"/>
      </rPr>
      <t>´</t>
    </r>
    <r>
      <rPr>
        <sz val="9.5"/>
        <rFont val="Times New Roman"/>
        <family val="1"/>
      </rPr>
      <t xml:space="preserve"> T </t>
    </r>
    <r>
      <rPr>
        <sz val="9.5"/>
        <rFont val="Symbol"/>
        <family val="1"/>
      </rPr>
      <t>´</t>
    </r>
    <r>
      <rPr>
        <sz val="9.5"/>
        <rFont val="Times New Roman"/>
        <family val="1"/>
      </rPr>
      <t xml:space="preserve"> A</t>
    </r>
    <r>
      <rPr>
        <vertAlign val="subscript"/>
        <sz val="9.5"/>
        <rFont val="Times New Roman"/>
        <family val="1"/>
      </rPr>
      <t>R</t>
    </r>
    <r>
      <rPr>
        <sz val="9.5"/>
        <rFont val="Times New Roman"/>
        <family val="1"/>
      </rPr>
      <t xml:space="preserve"> / </t>
    </r>
  </si>
  <si>
    <r>
      <t>Unit Risk Factor (URF)</t>
    </r>
    <r>
      <rPr>
        <b/>
        <vertAlign val="superscript"/>
        <sz val="11"/>
        <color indexed="8"/>
        <rFont val="Calibri"/>
        <family val="2"/>
      </rPr>
      <t>1</t>
    </r>
  </si>
  <si>
    <t>Pooled Analytical Sensitivity (AS)</t>
  </si>
  <si>
    <r>
      <t>Number of Structures (</t>
    </r>
    <r>
      <rPr>
        <i/>
        <sz val="11"/>
        <rFont val="Calibri"/>
        <family val="2"/>
      </rPr>
      <t>f</t>
    </r>
    <r>
      <rPr>
        <sz val="11"/>
        <rFont val="Calibri"/>
        <family val="2"/>
      </rPr>
      <t>)</t>
    </r>
  </si>
  <si>
    <r>
      <t>(14) From USEPA 2002 - J'</t>
    </r>
    <r>
      <rPr>
        <vertAlign val="subscript"/>
        <sz val="9.5"/>
        <rFont val="Times New Roman"/>
        <family val="1"/>
      </rPr>
      <t>T OFF</t>
    </r>
    <r>
      <rPr>
        <sz val="9.5"/>
        <rFont val="Times New Roman"/>
        <family val="1"/>
      </rPr>
      <t xml:space="preserve"> = (M</t>
    </r>
    <r>
      <rPr>
        <vertAlign val="subscript"/>
        <sz val="9.5"/>
        <rFont val="Times New Roman"/>
        <family val="1"/>
      </rPr>
      <t>wind</t>
    </r>
    <r>
      <rPr>
        <sz val="9.5"/>
        <rFont val="Times New Roman"/>
        <family val="1"/>
      </rPr>
      <t xml:space="preserve"> M</t>
    </r>
    <r>
      <rPr>
        <vertAlign val="subscript"/>
        <sz val="9.5"/>
        <rFont val="Times New Roman"/>
        <family val="1"/>
      </rPr>
      <t>excav</t>
    </r>
    <r>
      <rPr>
        <sz val="9.5"/>
        <rFont val="Times New Roman"/>
        <family val="1"/>
      </rPr>
      <t xml:space="preserve"> </t>
    </r>
    <r>
      <rPr>
        <sz val="9.5"/>
        <rFont val="Symbol"/>
        <family val="1"/>
      </rPr>
      <t>+</t>
    </r>
    <r>
      <rPr>
        <sz val="9.5"/>
        <rFont val="Times New Roman"/>
        <family val="1"/>
      </rPr>
      <t xml:space="preserve"> M</t>
    </r>
    <r>
      <rPr>
        <vertAlign val="subscript"/>
        <sz val="9.5"/>
        <rFont val="Times New Roman"/>
        <family val="1"/>
      </rPr>
      <t>doz</t>
    </r>
    <r>
      <rPr>
        <sz val="9.5"/>
        <rFont val="Times New Roman"/>
        <family val="1"/>
      </rPr>
      <t xml:space="preserve"> </t>
    </r>
    <r>
      <rPr>
        <sz val="9.5"/>
        <rFont val="Symbol"/>
        <family val="1"/>
      </rPr>
      <t>+</t>
    </r>
    <r>
      <rPr>
        <sz val="9.5"/>
        <rFont val="Times New Roman"/>
        <family val="1"/>
      </rPr>
      <t xml:space="preserve"> M</t>
    </r>
    <r>
      <rPr>
        <vertAlign val="subscript"/>
        <sz val="9.5"/>
        <rFont val="Times New Roman"/>
        <family val="1"/>
      </rPr>
      <t>grade</t>
    </r>
    <r>
      <rPr>
        <sz val="9.5"/>
        <rFont val="Times New Roman"/>
        <family val="1"/>
      </rPr>
      <t xml:space="preserve"> </t>
    </r>
    <r>
      <rPr>
        <sz val="9.5"/>
        <rFont val="Symbol"/>
        <family val="1"/>
      </rPr>
      <t>+</t>
    </r>
    <r>
      <rPr>
        <sz val="9.5"/>
        <rFont val="Times New Roman"/>
        <family val="1"/>
      </rPr>
      <t xml:space="preserve"> M</t>
    </r>
    <r>
      <rPr>
        <vertAlign val="subscript"/>
        <sz val="9.5"/>
        <rFont val="Times New Roman"/>
        <family val="1"/>
      </rPr>
      <t>till</t>
    </r>
    <r>
      <rPr>
        <sz val="9.5"/>
        <rFont val="Times New Roman"/>
        <family val="1"/>
      </rPr>
      <t>)/(A</t>
    </r>
    <r>
      <rPr>
        <vertAlign val="subscript"/>
        <sz val="9.5"/>
        <rFont val="Times New Roman"/>
        <family val="1"/>
      </rPr>
      <t>surf</t>
    </r>
    <r>
      <rPr>
        <sz val="9.5"/>
        <rFont val="Times New Roman"/>
        <family val="1"/>
      </rPr>
      <t xml:space="preserve"> </t>
    </r>
    <r>
      <rPr>
        <sz val="9.5"/>
        <rFont val="Symbol"/>
        <family val="1"/>
      </rPr>
      <t>´</t>
    </r>
    <r>
      <rPr>
        <sz val="9.5"/>
        <rFont val="Times New Roman"/>
        <family val="1"/>
      </rPr>
      <t xml:space="preserve"> T).</t>
    </r>
  </si>
  <si>
    <r>
      <t>(15) From USEPA 2002 - Q/C</t>
    </r>
    <r>
      <rPr>
        <vertAlign val="subscript"/>
        <sz val="9.5"/>
        <rFont val="Times New Roman"/>
        <family val="1"/>
      </rPr>
      <t>OFF</t>
    </r>
    <r>
      <rPr>
        <sz val="9.5"/>
        <rFont val="Times New Roman"/>
        <family val="1"/>
      </rPr>
      <t xml:space="preserve"> = A </t>
    </r>
    <r>
      <rPr>
        <sz val="9.5"/>
        <rFont val="Symbol"/>
        <family val="1"/>
      </rPr>
      <t>´</t>
    </r>
    <r>
      <rPr>
        <sz val="9.5"/>
        <rFont val="Times New Roman"/>
        <family val="1"/>
      </rPr>
      <t xml:space="preserve"> exp[(ln(A</t>
    </r>
    <r>
      <rPr>
        <vertAlign val="subscript"/>
        <sz val="9.5"/>
        <rFont val="Times New Roman"/>
        <family val="1"/>
      </rPr>
      <t>surf</t>
    </r>
    <r>
      <rPr>
        <sz val="9.5"/>
        <rFont val="Times New Roman"/>
        <family val="1"/>
      </rPr>
      <t xml:space="preserve">) </t>
    </r>
    <r>
      <rPr>
        <sz val="9.5"/>
        <rFont val="Symbol"/>
        <family val="1"/>
      </rPr>
      <t>-</t>
    </r>
    <r>
      <rPr>
        <sz val="9.5"/>
        <rFont val="Times New Roman"/>
        <family val="1"/>
      </rPr>
      <t xml:space="preserve"> B)</t>
    </r>
    <r>
      <rPr>
        <vertAlign val="superscript"/>
        <sz val="9.5"/>
        <rFont val="Times New Roman"/>
        <family val="1"/>
      </rPr>
      <t>2</t>
    </r>
    <r>
      <rPr>
        <sz val="9.5"/>
        <rFont val="Times New Roman"/>
        <family val="1"/>
      </rPr>
      <t>/C].</t>
    </r>
  </si>
  <si>
    <t>Constant A</t>
  </si>
  <si>
    <t>Constant B</t>
  </si>
  <si>
    <t>Constant C</t>
  </si>
  <si>
    <t>Analytical</t>
  </si>
  <si>
    <t>Sensitivity</t>
  </si>
  <si>
    <t>&gt;10µm</t>
  </si>
  <si>
    <r>
      <t>(10</t>
    </r>
    <r>
      <rPr>
        <b/>
        <vertAlign val="superscript"/>
        <sz val="12"/>
        <rFont val="Times New Roman"/>
        <family val="1"/>
      </rPr>
      <t>6</t>
    </r>
    <r>
      <rPr>
        <b/>
        <sz val="12"/>
        <rFont val="Times New Roman"/>
        <family val="1"/>
      </rPr>
      <t xml:space="preserve"> s/gPM</t>
    </r>
    <r>
      <rPr>
        <b/>
        <vertAlign val="subscript"/>
        <sz val="12"/>
        <rFont val="Times New Roman"/>
        <family val="1"/>
      </rPr>
      <t>10</t>
    </r>
    <r>
      <rPr>
        <b/>
        <sz val="12"/>
        <rFont val="Times New Roman"/>
        <family val="1"/>
      </rPr>
      <t>)</t>
    </r>
  </si>
  <si>
    <r>
      <t>Average depth of site excavation</t>
    </r>
    <r>
      <rPr>
        <vertAlign val="superscript"/>
        <sz val="10"/>
        <rFont val="Times New Roman"/>
        <family val="1"/>
      </rPr>
      <t>(2)</t>
    </r>
  </si>
  <si>
    <r>
      <t>Soil silt content %</t>
    </r>
    <r>
      <rPr>
        <vertAlign val="superscript"/>
        <sz val="10"/>
        <rFont val="Times New Roman"/>
        <family val="1"/>
      </rPr>
      <t>(7)</t>
    </r>
  </si>
  <si>
    <r>
      <t>Gravimetric Soil Moisture Content %</t>
    </r>
    <r>
      <rPr>
        <vertAlign val="superscript"/>
        <sz val="10"/>
        <rFont val="Times New Roman"/>
        <family val="1"/>
      </rPr>
      <t>(8)</t>
    </r>
  </si>
  <si>
    <r>
      <t>Average dozing speed</t>
    </r>
    <r>
      <rPr>
        <vertAlign val="superscript"/>
        <sz val="10"/>
        <rFont val="Times New Roman"/>
        <family val="1"/>
      </rPr>
      <t>(2)</t>
    </r>
  </si>
  <si>
    <r>
      <t>Average grading speed</t>
    </r>
    <r>
      <rPr>
        <vertAlign val="superscript"/>
        <sz val="10"/>
        <rFont val="Times New Roman"/>
        <family val="1"/>
      </rPr>
      <t>(2)</t>
    </r>
  </si>
  <si>
    <r>
      <t>Sum grading kilometers traveled</t>
    </r>
    <r>
      <rPr>
        <vertAlign val="superscript"/>
        <sz val="10"/>
        <rFont val="Times New Roman"/>
        <family val="1"/>
      </rPr>
      <t>(12)</t>
    </r>
  </si>
  <si>
    <r>
      <t>Surface area of contaminated road segment</t>
    </r>
    <r>
      <rPr>
        <vertAlign val="superscript"/>
        <sz val="10"/>
        <rFont val="Times New Roman"/>
        <family val="1"/>
      </rPr>
      <t>(19)</t>
    </r>
  </si>
  <si>
    <r>
      <t>Road surface silt content %</t>
    </r>
    <r>
      <rPr>
        <vertAlign val="superscript"/>
        <sz val="10"/>
        <rFont val="Times New Roman"/>
        <family val="1"/>
      </rPr>
      <t>(20)</t>
    </r>
  </si>
  <si>
    <r>
      <t>M</t>
    </r>
    <r>
      <rPr>
        <vertAlign val="subscript"/>
        <sz val="10"/>
        <rFont val="Times New Roman"/>
        <family val="1"/>
      </rPr>
      <t>dry</t>
    </r>
  </si>
  <si>
    <r>
      <t>Number of days/year with at least 0.01 inches of precipitation</t>
    </r>
    <r>
      <rPr>
        <vertAlign val="superscript"/>
        <sz val="10"/>
        <rFont val="Times New Roman"/>
        <family val="1"/>
      </rPr>
      <t>(3)</t>
    </r>
  </si>
  <si>
    <r>
      <t>Sum of fleet vehicle kilometers traveled during the exposure duration</t>
    </r>
    <r>
      <rPr>
        <vertAlign val="superscript"/>
        <sz val="10"/>
        <rFont val="Times New Roman"/>
        <family val="1"/>
      </rPr>
      <t>(21)</t>
    </r>
  </si>
  <si>
    <r>
      <t>Total Time Averaged PM</t>
    </r>
    <r>
      <rPr>
        <b/>
        <vertAlign val="subscript"/>
        <sz val="10"/>
        <rFont val="Times New Roman"/>
        <family val="1"/>
      </rPr>
      <t>10</t>
    </r>
    <r>
      <rPr>
        <b/>
        <sz val="10"/>
        <rFont val="Times New Roman"/>
        <family val="1"/>
      </rPr>
      <t xml:space="preserve"> Emission for off-site receptor</t>
    </r>
    <r>
      <rPr>
        <b/>
        <vertAlign val="superscript"/>
        <sz val="10"/>
        <rFont val="Times New Roman"/>
        <family val="1"/>
      </rPr>
      <t>(14)</t>
    </r>
  </si>
  <si>
    <r>
      <t>default value</t>
    </r>
    <r>
      <rPr>
        <i/>
        <vertAlign val="superscript"/>
        <sz val="11"/>
        <color indexed="8"/>
        <rFont val="Calibri"/>
        <family val="2"/>
      </rPr>
      <t>(1)</t>
    </r>
  </si>
  <si>
    <r>
      <t>Post-Construction fugitive dust from wind erosion</t>
    </r>
    <r>
      <rPr>
        <b/>
        <vertAlign val="superscript"/>
        <sz val="10"/>
        <rFont val="Times New Roman"/>
        <family val="1"/>
      </rPr>
      <t>(1)</t>
    </r>
  </si>
  <si>
    <t>ESTIMATED RISK</t>
  </si>
  <si>
    <t>R-factor Calculations (Equation 31 in Guidance Document)</t>
  </si>
  <si>
    <t>Unit Risk Factor Calculations (Equation 30 in Guidance Document)</t>
  </si>
  <si>
    <r>
      <t>A, B, and C constants for calculating Q/C</t>
    </r>
    <r>
      <rPr>
        <i/>
        <vertAlign val="subscript"/>
        <sz val="11"/>
        <color indexed="8"/>
        <rFont val="Calibri"/>
        <family val="2"/>
      </rPr>
      <t>wind</t>
    </r>
    <r>
      <rPr>
        <i/>
        <vertAlign val="superscript"/>
        <sz val="11"/>
        <color indexed="8"/>
        <rFont val="Calibri"/>
        <family val="2"/>
      </rPr>
      <t>1</t>
    </r>
  </si>
  <si>
    <r>
      <t>A, B, and C constants for calculating Q/C</t>
    </r>
    <r>
      <rPr>
        <i/>
        <vertAlign val="subscript"/>
        <sz val="11"/>
        <color indexed="8"/>
        <rFont val="Calibri"/>
        <family val="2"/>
      </rPr>
      <t>OFF</t>
    </r>
    <r>
      <rPr>
        <i/>
        <vertAlign val="superscript"/>
        <sz val="11"/>
        <color indexed="8"/>
        <rFont val="Calibri"/>
        <family val="2"/>
      </rPr>
      <t>2</t>
    </r>
  </si>
  <si>
    <r>
      <t>2</t>
    </r>
    <r>
      <rPr>
        <sz val="11"/>
        <color theme="1"/>
        <rFont val="Calibri"/>
        <family val="2"/>
        <scheme val="minor"/>
      </rPr>
      <t xml:space="preserve"> Constants A, B, and C derived from Appendix E, Exhibit E-5 from U.S. EPA (2002)</t>
    </r>
  </si>
  <si>
    <r>
      <t>1</t>
    </r>
    <r>
      <rPr>
        <sz val="11"/>
        <color theme="1"/>
        <rFont val="Calibri"/>
        <family val="2"/>
        <scheme val="minor"/>
      </rPr>
      <t xml:space="preserve"> Constants A, B, and C derived from Appendix E, Exhibit E-3 from U.S. EPA (2002)</t>
    </r>
  </si>
  <si>
    <r>
      <t>(18) From USEPA 2002 - VKT</t>
    </r>
    <r>
      <rPr>
        <vertAlign val="subscript"/>
        <sz val="9.5"/>
        <rFont val="Times New Roman"/>
        <family val="1"/>
      </rPr>
      <t>road</t>
    </r>
    <r>
      <rPr>
        <sz val="9.5"/>
        <rFont val="Times New Roman"/>
        <family val="1"/>
      </rPr>
      <t xml:space="preserve"> = 30 vehicles </t>
    </r>
    <r>
      <rPr>
        <sz val="9.5"/>
        <rFont val="Symbol"/>
        <family val="1"/>
      </rPr>
      <t>´</t>
    </r>
    <r>
      <rPr>
        <sz val="9.5"/>
        <rFont val="Times New Roman"/>
        <family val="1"/>
      </rPr>
      <t xml:space="preserve"> L</t>
    </r>
    <r>
      <rPr>
        <vertAlign val="subscript"/>
        <sz val="9.5"/>
        <rFont val="Times New Roman"/>
        <family val="1"/>
      </rPr>
      <t>R</t>
    </r>
    <r>
      <rPr>
        <sz val="9.5"/>
        <rFont val="Times New Roman"/>
        <family val="1"/>
      </rPr>
      <t xml:space="preserve"> </t>
    </r>
    <r>
      <rPr>
        <sz val="9.5"/>
        <rFont val="Symbol"/>
        <family val="1"/>
      </rPr>
      <t>´</t>
    </r>
    <r>
      <rPr>
        <sz val="9.5"/>
        <rFont val="Times New Roman"/>
        <family val="1"/>
      </rPr>
      <t xml:space="preserve"> [(52 wks/yr)/2] </t>
    </r>
    <r>
      <rPr>
        <sz val="9.5"/>
        <rFont val="Symbol"/>
        <family val="1"/>
      </rPr>
      <t>´</t>
    </r>
    <r>
      <rPr>
        <sz val="9.5"/>
        <rFont val="Times New Roman"/>
        <family val="1"/>
      </rPr>
      <t xml:space="preserve"> (5 days/week) / (1000 m/km).</t>
    </r>
  </si>
  <si>
    <r>
      <t>Sum of fleet vehicle kilometers traveled during the exposure duration</t>
    </r>
    <r>
      <rPr>
        <vertAlign val="superscript"/>
        <sz val="10"/>
        <rFont val="Times New Roman"/>
        <family val="1"/>
      </rPr>
      <t>(18)</t>
    </r>
  </si>
  <si>
    <r>
      <t>Length of road segment</t>
    </r>
    <r>
      <rPr>
        <vertAlign val="superscript"/>
        <sz val="10"/>
        <rFont val="Times New Roman"/>
        <family val="1"/>
      </rPr>
      <t>(16)</t>
    </r>
  </si>
  <si>
    <t>(16) Assumed value of the square root of the site area, based upon USEPA (2002).</t>
  </si>
  <si>
    <t>(1) Assumed value for the site based upon USEPA (2002). Supplemental Guidance for Developing Soil Screening Levels for Superfund Sites.</t>
  </si>
  <si>
    <r>
      <t>Fraction of vegetative cover</t>
    </r>
    <r>
      <rPr>
        <vertAlign val="superscript"/>
        <sz val="10"/>
        <rFont val="Times New Roman"/>
        <family val="1"/>
      </rPr>
      <t>(1)</t>
    </r>
  </si>
  <si>
    <r>
      <t>Equivalent threshold value of wind speed</t>
    </r>
    <r>
      <rPr>
        <vertAlign val="superscript"/>
        <sz val="10"/>
        <rFont val="Times New Roman"/>
        <family val="1"/>
      </rPr>
      <t>(1)</t>
    </r>
  </si>
  <si>
    <r>
      <t>Function dependent on U/U</t>
    </r>
    <r>
      <rPr>
        <vertAlign val="subscript"/>
        <sz val="10"/>
        <rFont val="Times New Roman"/>
        <family val="1"/>
      </rPr>
      <t>t</t>
    </r>
    <r>
      <rPr>
        <vertAlign val="superscript"/>
        <sz val="10"/>
        <rFont val="Times New Roman"/>
        <family val="1"/>
      </rPr>
      <t>(1)</t>
    </r>
  </si>
  <si>
    <r>
      <t>Constant A</t>
    </r>
    <r>
      <rPr>
        <vertAlign val="superscript"/>
        <sz val="10"/>
        <rFont val="Times New Roman"/>
        <family val="1"/>
      </rPr>
      <t>(1)</t>
    </r>
  </si>
  <si>
    <r>
      <t>Constant B</t>
    </r>
    <r>
      <rPr>
        <vertAlign val="superscript"/>
        <sz val="10"/>
        <rFont val="Times New Roman"/>
        <family val="1"/>
      </rPr>
      <t>(1)</t>
    </r>
  </si>
  <si>
    <r>
      <t>Constant C</t>
    </r>
    <r>
      <rPr>
        <vertAlign val="superscript"/>
        <sz val="10"/>
        <rFont val="Times New Roman"/>
        <family val="1"/>
      </rPr>
      <t>(1)</t>
    </r>
  </si>
  <si>
    <r>
      <t>(6) From USEPA 2002 - M</t>
    </r>
    <r>
      <rPr>
        <vertAlign val="subscript"/>
        <sz val="9.5"/>
        <rFont val="Times New Roman"/>
        <family val="1"/>
      </rPr>
      <t>excav</t>
    </r>
    <r>
      <rPr>
        <sz val="9.5"/>
        <rFont val="Times New Roman"/>
        <family val="1"/>
      </rPr>
      <t xml:space="preserve"> = 0.35 </t>
    </r>
    <r>
      <rPr>
        <sz val="9.5"/>
        <rFont val="Symbol"/>
        <family val="1"/>
      </rPr>
      <t>´</t>
    </r>
    <r>
      <rPr>
        <sz val="9.5"/>
        <rFont val="Times New Roman"/>
        <family val="1"/>
      </rPr>
      <t xml:space="preserve"> 0.0016 </t>
    </r>
    <r>
      <rPr>
        <sz val="9.5"/>
        <rFont val="Symbol"/>
        <family val="1"/>
      </rPr>
      <t>´</t>
    </r>
    <r>
      <rPr>
        <sz val="9.5"/>
        <rFont val="Times New Roman"/>
        <family val="1"/>
      </rPr>
      <t xml:space="preserve"> [(U</t>
    </r>
    <r>
      <rPr>
        <vertAlign val="subscript"/>
        <sz val="9.5"/>
        <rFont val="Times New Roman"/>
        <family val="1"/>
      </rPr>
      <t>m</t>
    </r>
    <r>
      <rPr>
        <sz val="9.5"/>
        <rFont val="Times New Roman"/>
        <family val="1"/>
      </rPr>
      <t>/2.2</t>
    </r>
    <r>
      <rPr>
        <vertAlign val="subscript"/>
        <sz val="9.5"/>
        <rFont val="Times New Roman"/>
        <family val="1"/>
      </rPr>
      <t>)</t>
    </r>
    <r>
      <rPr>
        <vertAlign val="superscript"/>
        <sz val="9.5"/>
        <rFont val="Times New Roman"/>
        <family val="1"/>
      </rPr>
      <t>1.3</t>
    </r>
    <r>
      <rPr>
        <sz val="9.5"/>
        <rFont val="Times New Roman"/>
        <family val="1"/>
      </rPr>
      <t>/(M/2)</t>
    </r>
    <r>
      <rPr>
        <vertAlign val="superscript"/>
        <sz val="9.5"/>
        <rFont val="Times New Roman"/>
        <family val="1"/>
      </rPr>
      <t>1.4</t>
    </r>
    <r>
      <rPr>
        <sz val="9.5"/>
        <rFont val="Times New Roman"/>
        <family val="1"/>
      </rPr>
      <t xml:space="preserve">] </t>
    </r>
    <r>
      <rPr>
        <sz val="9.5"/>
        <rFont val="Symbol"/>
        <family val="1"/>
      </rPr>
      <t>´</t>
    </r>
    <r>
      <rPr>
        <sz val="9.5"/>
        <rFont val="Times New Roman"/>
        <family val="1"/>
      </rPr>
      <t xml:space="preserve"> </t>
    </r>
    <r>
      <rPr>
        <sz val="9.5"/>
        <rFont val="Symbol"/>
        <family val="1"/>
      </rPr>
      <t>r</t>
    </r>
    <r>
      <rPr>
        <vertAlign val="subscript"/>
        <sz val="9.5"/>
        <rFont val="Times New Roman"/>
        <family val="1"/>
      </rPr>
      <t>soil</t>
    </r>
    <r>
      <rPr>
        <sz val="9.5"/>
        <rFont val="Times New Roman"/>
        <family val="1"/>
      </rPr>
      <t xml:space="preserve"> </t>
    </r>
    <r>
      <rPr>
        <sz val="9.5"/>
        <rFont val="Symbol"/>
        <family val="1"/>
      </rPr>
      <t>´</t>
    </r>
    <r>
      <rPr>
        <sz val="9.5"/>
        <rFont val="Times New Roman"/>
        <family val="1"/>
      </rPr>
      <t xml:space="preserve"> A</t>
    </r>
    <r>
      <rPr>
        <vertAlign val="subscript"/>
        <sz val="9.5"/>
        <rFont val="Times New Roman"/>
        <family val="1"/>
      </rPr>
      <t>excav</t>
    </r>
    <r>
      <rPr>
        <sz val="9.5"/>
        <rFont val="Times New Roman"/>
        <family val="1"/>
      </rPr>
      <t xml:space="preserve"> </t>
    </r>
    <r>
      <rPr>
        <sz val="9.5"/>
        <rFont val="Symbol"/>
        <family val="1"/>
      </rPr>
      <t>´</t>
    </r>
    <r>
      <rPr>
        <sz val="9.5"/>
        <rFont val="Times New Roman"/>
        <family val="1"/>
      </rPr>
      <t xml:space="preserve"> d</t>
    </r>
    <r>
      <rPr>
        <vertAlign val="subscript"/>
        <sz val="9.5"/>
        <rFont val="Times New Roman"/>
        <family val="1"/>
      </rPr>
      <t>excav</t>
    </r>
    <r>
      <rPr>
        <sz val="9.5"/>
        <rFont val="Times New Roman"/>
        <family val="1"/>
      </rPr>
      <t xml:space="preserve"> </t>
    </r>
    <r>
      <rPr>
        <sz val="9.5"/>
        <rFont val="Symbol"/>
        <family val="1"/>
      </rPr>
      <t>´</t>
    </r>
    <r>
      <rPr>
        <sz val="9.5"/>
        <rFont val="Times New Roman"/>
        <family val="1"/>
      </rPr>
      <t xml:space="preserve"> N</t>
    </r>
    <r>
      <rPr>
        <vertAlign val="subscript"/>
        <sz val="9.5"/>
        <rFont val="Times New Roman"/>
        <family val="1"/>
      </rPr>
      <t>A</t>
    </r>
    <r>
      <rPr>
        <sz val="9.5"/>
        <rFont val="Times New Roman"/>
        <family val="1"/>
      </rPr>
      <t xml:space="preserve"> </t>
    </r>
    <r>
      <rPr>
        <sz val="9.5"/>
        <rFont val="Symbol"/>
        <family val="1"/>
      </rPr>
      <t>´</t>
    </r>
    <r>
      <rPr>
        <sz val="9.5"/>
        <rFont val="Times New Roman"/>
        <family val="1"/>
      </rPr>
      <t xml:space="preserve"> 10</t>
    </r>
    <r>
      <rPr>
        <vertAlign val="superscript"/>
        <sz val="9.5"/>
        <rFont val="Times New Roman"/>
        <family val="1"/>
      </rPr>
      <t>3</t>
    </r>
    <r>
      <rPr>
        <sz val="9.5"/>
        <rFont val="Times New Roman"/>
        <family val="1"/>
      </rPr>
      <t>g/kg.</t>
    </r>
  </si>
  <si>
    <r>
      <t>Mean annual wind speed</t>
    </r>
    <r>
      <rPr>
        <vertAlign val="superscript"/>
        <sz val="10"/>
        <rFont val="Times New Roman"/>
        <family val="1"/>
      </rPr>
      <t>(2)</t>
    </r>
  </si>
  <si>
    <t>(2) Based on long-term weather data for the area of interest - this value can change based on site specific characteristics</t>
  </si>
  <si>
    <r>
      <t>Areal Extent of site surface contamination</t>
    </r>
    <r>
      <rPr>
        <vertAlign val="superscript"/>
        <sz val="10"/>
        <rFont val="Times New Roman"/>
        <family val="1"/>
      </rPr>
      <t>(3)</t>
    </r>
  </si>
  <si>
    <r>
      <t>Air Dispersion Factor for Area Source</t>
    </r>
    <r>
      <rPr>
        <b/>
        <vertAlign val="superscript"/>
        <sz val="10"/>
        <rFont val="Times New Roman"/>
        <family val="1"/>
      </rPr>
      <t>(4)</t>
    </r>
  </si>
  <si>
    <r>
      <t>(4) From USEPA 2002 - Q/C</t>
    </r>
    <r>
      <rPr>
        <vertAlign val="subscript"/>
        <sz val="9.5"/>
        <rFont val="Times New Roman"/>
        <family val="1"/>
      </rPr>
      <t>sa</t>
    </r>
    <r>
      <rPr>
        <sz val="9.5"/>
        <rFont val="Times New Roman"/>
        <family val="1"/>
      </rPr>
      <t xml:space="preserve"> = A </t>
    </r>
    <r>
      <rPr>
        <sz val="9.5"/>
        <rFont val="Symbol"/>
        <family val="1"/>
      </rPr>
      <t>´</t>
    </r>
    <r>
      <rPr>
        <sz val="9.5"/>
        <rFont val="Times New Roman"/>
        <family val="1"/>
      </rPr>
      <t xml:space="preserve"> exp[(ln(A</t>
    </r>
    <r>
      <rPr>
        <vertAlign val="subscript"/>
        <sz val="9.5"/>
        <rFont val="Times New Roman"/>
        <family val="1"/>
      </rPr>
      <t>surf</t>
    </r>
    <r>
      <rPr>
        <sz val="9.5"/>
        <rFont val="Times New Roman"/>
        <family val="1"/>
      </rPr>
      <t xml:space="preserve">) </t>
    </r>
    <r>
      <rPr>
        <sz val="9.5"/>
        <rFont val="Symbol"/>
        <family val="1"/>
      </rPr>
      <t>-</t>
    </r>
    <r>
      <rPr>
        <sz val="9.5"/>
        <rFont val="Times New Roman"/>
        <family val="1"/>
      </rPr>
      <t xml:space="preserve"> B)</t>
    </r>
    <r>
      <rPr>
        <vertAlign val="superscript"/>
        <sz val="9.5"/>
        <rFont val="Times New Roman"/>
        <family val="1"/>
      </rPr>
      <t>2</t>
    </r>
    <r>
      <rPr>
        <sz val="9.5"/>
        <rFont val="Times New Roman"/>
        <family val="1"/>
      </rPr>
      <t>/C].</t>
    </r>
  </si>
  <si>
    <t>Site Specific Constant - Select from 'QC Equation Constants' tab</t>
  </si>
  <si>
    <r>
      <t>Commercial/Industrial Worker PEF</t>
    </r>
    <r>
      <rPr>
        <b/>
        <vertAlign val="superscript"/>
        <sz val="10"/>
        <rFont val="Times New Roman"/>
        <family val="1"/>
      </rPr>
      <t>(5)</t>
    </r>
  </si>
  <si>
    <r>
      <t>Total outdoor ambient air dust concentration</t>
    </r>
    <r>
      <rPr>
        <b/>
        <vertAlign val="superscript"/>
        <sz val="10"/>
        <rFont val="Times New Roman"/>
        <family val="1"/>
      </rPr>
      <t>(6)</t>
    </r>
  </si>
  <si>
    <r>
      <t>(6) D</t>
    </r>
    <r>
      <rPr>
        <vertAlign val="subscript"/>
        <sz val="9.5"/>
        <rFont val="Times New Roman"/>
        <family val="1"/>
      </rPr>
      <t>worker</t>
    </r>
    <r>
      <rPr>
        <sz val="9.5"/>
        <rFont val="Times New Roman"/>
        <family val="1"/>
      </rPr>
      <t xml:space="preserve"> = 1/PEF</t>
    </r>
    <r>
      <rPr>
        <vertAlign val="subscript"/>
        <sz val="9.5"/>
        <rFont val="Times New Roman"/>
        <family val="1"/>
      </rPr>
      <t>Worker</t>
    </r>
  </si>
  <si>
    <r>
      <t>(21) D</t>
    </r>
    <r>
      <rPr>
        <vertAlign val="subscript"/>
        <sz val="9.5"/>
        <rFont val="Times New Roman"/>
        <family val="1"/>
      </rPr>
      <t>OFF</t>
    </r>
    <r>
      <rPr>
        <sz val="9.5"/>
        <rFont val="Times New Roman"/>
        <family val="1"/>
      </rPr>
      <t xml:space="preserve"> = 1/PEF</t>
    </r>
    <r>
      <rPr>
        <vertAlign val="subscript"/>
        <sz val="9.5"/>
        <rFont val="Times New Roman"/>
        <family val="1"/>
      </rPr>
      <t>OFF</t>
    </r>
  </si>
  <si>
    <t>m/day</t>
  </si>
  <si>
    <r>
      <t>PEF</t>
    </r>
    <r>
      <rPr>
        <b/>
        <vertAlign val="subscript"/>
        <sz val="10"/>
        <rFont val="Times New Roman"/>
        <family val="1"/>
      </rPr>
      <t>Onsite Resident</t>
    </r>
  </si>
  <si>
    <r>
      <t>(5) From USEPA 2002 - PEF</t>
    </r>
    <r>
      <rPr>
        <vertAlign val="subscript"/>
        <sz val="9.5"/>
        <rFont val="Times New Roman"/>
        <family val="1"/>
      </rPr>
      <t>Worker</t>
    </r>
    <r>
      <rPr>
        <sz val="9.5"/>
        <rFont val="Times New Roman"/>
        <family val="1"/>
      </rPr>
      <t xml:space="preserve"> = Q/C</t>
    </r>
    <r>
      <rPr>
        <vertAlign val="subscript"/>
        <sz val="9.5"/>
        <rFont val="Times New Roman"/>
        <family val="1"/>
      </rPr>
      <t>wind</t>
    </r>
    <r>
      <rPr>
        <sz val="9.5"/>
        <rFont val="Times New Roman"/>
        <family val="1"/>
      </rPr>
      <t xml:space="preserve"> * (3600/(0.036*(1-V)*((U</t>
    </r>
    <r>
      <rPr>
        <vertAlign val="subscript"/>
        <sz val="9.5"/>
        <rFont val="Times New Roman"/>
        <family val="1"/>
      </rPr>
      <t>m</t>
    </r>
    <r>
      <rPr>
        <sz val="9.5"/>
        <rFont val="Times New Roman"/>
        <family val="1"/>
      </rPr>
      <t>/U</t>
    </r>
    <r>
      <rPr>
        <vertAlign val="subscript"/>
        <sz val="9.5"/>
        <rFont val="Times New Roman"/>
        <family val="1"/>
      </rPr>
      <t>t</t>
    </r>
    <r>
      <rPr>
        <sz val="9.5"/>
        <rFont val="Times New Roman"/>
        <family val="1"/>
      </rPr>
      <t>)^3)*F(x)))</t>
    </r>
  </si>
  <si>
    <t>(5) Construction worker exposure duration.</t>
  </si>
  <si>
    <r>
      <t>(25) D</t>
    </r>
    <r>
      <rPr>
        <vertAlign val="subscript"/>
        <sz val="9.5"/>
        <rFont val="Times New Roman"/>
        <family val="1"/>
      </rPr>
      <t>construct</t>
    </r>
    <r>
      <rPr>
        <sz val="9.5"/>
        <rFont val="Times New Roman"/>
        <family val="1"/>
      </rPr>
      <t xml:space="preserve"> = 1/PEF</t>
    </r>
    <r>
      <rPr>
        <vertAlign val="subscript"/>
        <sz val="9.5"/>
        <rFont val="Times New Roman"/>
        <family val="1"/>
      </rPr>
      <t>sc_total</t>
    </r>
    <r>
      <rPr>
        <sz val="9.5"/>
        <rFont val="Times New Roman"/>
        <family val="1"/>
      </rPr>
      <t>.</t>
    </r>
  </si>
  <si>
    <t>Note that inputs in these worksheets that have a dark green background must be provided site specifically (e.g., Areal extent of site surface contamination in Cell D50 on this worksheet).</t>
    <phoneticPr fontId="65" type="noConversion"/>
  </si>
  <si>
    <t>Inputs that have no fill for background should not be changed.</t>
    <phoneticPr fontId="65" type="noConversion"/>
  </si>
  <si>
    <t>Input for number of structures is in worksheet 'Data and Analytical Sensitivity', and are calculated based on site data</t>
    <phoneticPr fontId="65" type="noConversion"/>
  </si>
  <si>
    <t>Input for AS is in worksheet 'Data and Analytical Sensitivity', and is calculated based on site data</t>
    <phoneticPr fontId="65" type="noConversion"/>
  </si>
  <si>
    <r>
      <t>D</t>
    </r>
    <r>
      <rPr>
        <b/>
        <vertAlign val="subscript"/>
        <sz val="10"/>
        <rFont val="Times New Roman"/>
        <family val="1"/>
      </rPr>
      <t>Onsite Resident</t>
    </r>
  </si>
  <si>
    <t>PARTICULATE EMISSION FACTOR (PEF) FOR ONSITE RESIDENTIAL SCENARIO</t>
  </si>
  <si>
    <r>
      <t>(5) From USEPA 2002 - PEF</t>
    </r>
    <r>
      <rPr>
        <vertAlign val="subscript"/>
        <sz val="9.5"/>
        <rFont val="Times New Roman"/>
        <family val="1"/>
      </rPr>
      <t>Onsite Resident</t>
    </r>
    <r>
      <rPr>
        <sz val="9.5"/>
        <rFont val="Times New Roman"/>
        <family val="1"/>
      </rPr>
      <t xml:space="preserve"> = Q/C</t>
    </r>
    <r>
      <rPr>
        <vertAlign val="subscript"/>
        <sz val="9.5"/>
        <rFont val="Times New Roman"/>
        <family val="1"/>
      </rPr>
      <t>wind</t>
    </r>
    <r>
      <rPr>
        <sz val="9.5"/>
        <rFont val="Times New Roman"/>
        <family val="1"/>
      </rPr>
      <t xml:space="preserve"> * (3600/(0.036*(1-V)*((U</t>
    </r>
    <r>
      <rPr>
        <vertAlign val="subscript"/>
        <sz val="9.5"/>
        <rFont val="Times New Roman"/>
        <family val="1"/>
      </rPr>
      <t>m</t>
    </r>
    <r>
      <rPr>
        <sz val="9.5"/>
        <rFont val="Times New Roman"/>
        <family val="1"/>
      </rPr>
      <t>/U</t>
    </r>
    <r>
      <rPr>
        <vertAlign val="subscript"/>
        <sz val="9.5"/>
        <rFont val="Times New Roman"/>
        <family val="1"/>
      </rPr>
      <t>t</t>
    </r>
    <r>
      <rPr>
        <sz val="9.5"/>
        <rFont val="Times New Roman"/>
        <family val="1"/>
      </rPr>
      <t>)^3)*F(x)))</t>
    </r>
  </si>
  <si>
    <t>Parameters and Calculation of Total Outdoor Ambient Air Dust Concentration</t>
  </si>
  <si>
    <t>Asbestos Risk Calculations</t>
  </si>
  <si>
    <r>
      <t>(17) From USEPA 2002 - PEF</t>
    </r>
    <r>
      <rPr>
        <vertAlign val="subscript"/>
        <sz val="9.5"/>
        <rFont val="Times New Roman"/>
        <family val="1"/>
      </rPr>
      <t>sc</t>
    </r>
    <r>
      <rPr>
        <sz val="9.5"/>
        <rFont val="Times New Roman"/>
        <family val="1"/>
      </rPr>
      <t xml:space="preserve"> = Q/C</t>
    </r>
    <r>
      <rPr>
        <vertAlign val="subscript"/>
        <sz val="9.5"/>
        <rFont val="Times New Roman"/>
        <family val="1"/>
      </rPr>
      <t>sa</t>
    </r>
    <r>
      <rPr>
        <sz val="9.5"/>
        <rFont val="Times New Roman"/>
        <family val="1"/>
      </rPr>
      <t xml:space="preserve"> </t>
    </r>
    <r>
      <rPr>
        <sz val="9.5"/>
        <rFont val="Symbol"/>
        <family val="1"/>
      </rPr>
      <t>´</t>
    </r>
    <r>
      <rPr>
        <sz val="9.5"/>
        <rFont val="Times New Roman"/>
        <family val="1"/>
      </rPr>
      <t xml:space="preserve"> (1/F</t>
    </r>
    <r>
      <rPr>
        <vertAlign val="subscript"/>
        <sz val="9.5"/>
        <rFont val="Times New Roman"/>
        <family val="1"/>
      </rPr>
      <t>D</t>
    </r>
    <r>
      <rPr>
        <sz val="9.5"/>
        <rFont val="Times New Roman"/>
        <family val="1"/>
      </rPr>
      <t xml:space="preserve">) </t>
    </r>
    <r>
      <rPr>
        <sz val="9.5"/>
        <rFont val="Symbol"/>
        <family val="1"/>
      </rPr>
      <t>´</t>
    </r>
    <r>
      <rPr>
        <sz val="9.5"/>
        <rFont val="Times New Roman"/>
        <family val="1"/>
      </rPr>
      <t xml:space="preserve"> (1/J'</t>
    </r>
    <r>
      <rPr>
        <vertAlign val="subscript"/>
        <sz val="9.5"/>
        <rFont val="Times New Roman"/>
        <family val="1"/>
      </rPr>
      <t>T</t>
    </r>
    <r>
      <rPr>
        <sz val="9.5"/>
        <rFont val="Times New Roman"/>
        <family val="1"/>
      </rPr>
      <t>).</t>
    </r>
  </si>
  <si>
    <t>Unit Risk Factor (Amphibole URF)</t>
  </si>
  <si>
    <t>URF Adjustment Factor</t>
  </si>
  <si>
    <r>
      <t>Chrysotile C</t>
    </r>
    <r>
      <rPr>
        <vertAlign val="subscript"/>
        <sz val="11"/>
        <color indexed="8"/>
        <rFont val="Calibri"/>
        <family val="2"/>
      </rPr>
      <t>soil</t>
    </r>
    <r>
      <rPr>
        <sz val="11"/>
        <color theme="1"/>
        <rFont val="Calibri"/>
        <family val="2"/>
        <scheme val="minor"/>
      </rPr>
      <t xml:space="preserve">  (=</t>
    </r>
    <r>
      <rPr>
        <i/>
        <sz val="11"/>
        <color indexed="8"/>
        <rFont val="Calibri"/>
        <family val="2"/>
      </rPr>
      <t xml:space="preserve"> f * AS</t>
    </r>
    <r>
      <rPr>
        <sz val="11"/>
        <color theme="1"/>
        <rFont val="Calibri"/>
        <family val="2"/>
        <scheme val="minor"/>
      </rPr>
      <t>)</t>
    </r>
  </si>
  <si>
    <r>
      <t>Amphibole C</t>
    </r>
    <r>
      <rPr>
        <vertAlign val="subscript"/>
        <sz val="11"/>
        <color indexed="8"/>
        <rFont val="Calibri"/>
        <family val="2"/>
      </rPr>
      <t>soil</t>
    </r>
    <r>
      <rPr>
        <sz val="11"/>
        <color theme="1"/>
        <rFont val="Calibri"/>
        <family val="2"/>
        <scheme val="minor"/>
      </rPr>
      <t xml:space="preserve">  (=</t>
    </r>
    <r>
      <rPr>
        <i/>
        <sz val="11"/>
        <color indexed="8"/>
        <rFont val="Calibri"/>
        <family val="2"/>
      </rPr>
      <t xml:space="preserve"> f * AS</t>
    </r>
    <r>
      <rPr>
        <sz val="11"/>
        <color theme="1"/>
        <rFont val="Calibri"/>
        <family val="2"/>
        <scheme val="minor"/>
      </rPr>
      <t>)</t>
    </r>
  </si>
  <si>
    <t>target risk (TR)</t>
  </si>
  <si>
    <r>
      <t>(f/cm3)</t>
    </r>
    <r>
      <rPr>
        <vertAlign val="superscript"/>
        <sz val="11"/>
        <color indexed="8"/>
        <rFont val="Calibri"/>
        <family val="2"/>
      </rPr>
      <t>-1</t>
    </r>
  </si>
  <si>
    <r>
      <t>cm</t>
    </r>
    <r>
      <rPr>
        <vertAlign val="superscript"/>
        <sz val="11"/>
        <rFont val="Calibri"/>
        <family val="2"/>
      </rPr>
      <t>3</t>
    </r>
    <r>
      <rPr>
        <sz val="11"/>
        <rFont val="Calibri"/>
        <family val="2"/>
      </rPr>
      <t>/µg</t>
    </r>
  </si>
  <si>
    <t>hrs</t>
  </si>
  <si>
    <t>hr/day</t>
  </si>
  <si>
    <t>f/g PM10</t>
  </si>
  <si>
    <t>Onsite Resident</t>
  </si>
  <si>
    <t>1- (Upper Confidence Percentile)</t>
  </si>
  <si>
    <t>fiber count</t>
  </si>
  <si>
    <t>Poisson 95UCL of fiber count</t>
  </si>
  <si>
    <t>minimum sample size; chrysotile</t>
  </si>
  <si>
    <t>minimum sample size; amphibole</t>
  </si>
  <si>
    <t>Zero Measured Fibers</t>
  </si>
  <si>
    <t>target pooled AS; chrysotile</t>
  </si>
  <si>
    <t>target pooled AS; amphibole</t>
  </si>
  <si>
    <t>sample AS (f/g PM10)</t>
  </si>
  <si>
    <t>One Measured Fiber</t>
  </si>
  <si>
    <t>Two Measured Fibers</t>
  </si>
  <si>
    <t>BCL</t>
    <phoneticPr fontId="65" type="noConversion"/>
  </si>
  <si>
    <t>f/µg PM10</t>
    <phoneticPr fontId="65" type="noConversion"/>
  </si>
  <si>
    <r>
      <t>Fugitive dust from excavation soil dumping</t>
    </r>
    <r>
      <rPr>
        <b/>
        <vertAlign val="superscript"/>
        <sz val="10"/>
        <rFont val="Times New Roman"/>
        <family val="1"/>
      </rPr>
      <t>(6)</t>
    </r>
  </si>
  <si>
    <r>
      <t>In situ wet soil bulk density</t>
    </r>
    <r>
      <rPr>
        <vertAlign val="superscript"/>
        <sz val="10"/>
        <rFont val="Times New Roman"/>
        <family val="1"/>
      </rPr>
      <t>(7)</t>
    </r>
  </si>
  <si>
    <t>Note: These values are taken from the receptor-specific PEF spreadsheets</t>
  </si>
  <si>
    <t>Pooled Analytical Sensitivity = 1 x (1/ Σ(1/single sample analytical sensitivity))</t>
  </si>
  <si>
    <t>Number of vehicles for duration of construction</t>
  </si>
  <si>
    <r>
      <t>N</t>
    </r>
    <r>
      <rPr>
        <vertAlign val="subscript"/>
        <sz val="10"/>
        <rFont val="Times New Roman"/>
        <family val="1"/>
      </rPr>
      <t>V</t>
    </r>
  </si>
  <si>
    <t>vehicles</t>
  </si>
  <si>
    <t>Length of road traveled per day</t>
  </si>
  <si>
    <r>
      <t>L</t>
    </r>
    <r>
      <rPr>
        <vertAlign val="subscript"/>
        <sz val="10"/>
        <rFont val="Times New Roman"/>
        <family val="1"/>
      </rPr>
      <t>D</t>
    </r>
  </si>
  <si>
    <t>(7) This value can change based on site specific characteristics</t>
    <phoneticPr fontId="65" type="noConversion"/>
  </si>
  <si>
    <t>(8) This value can change based on site specific characteristics</t>
    <phoneticPr fontId="65" type="noConversion"/>
  </si>
  <si>
    <t>(4) Site area - this value can change based on site characteristics (change in Risk_Calculations tab)</t>
    <phoneticPr fontId="65" type="noConversion"/>
  </si>
  <si>
    <t>(3) Site area - this value can change based on site characteristics (Change in Risk_Calculations tab)</t>
    <phoneticPr fontId="65" type="noConversion"/>
  </si>
  <si>
    <t>Refer to NDEP Guidance document for detailed explanation</t>
    <phoneticPr fontId="65" type="noConversion"/>
  </si>
  <si>
    <t>Other inputs come from the supporting worksheets.  For example, there is a supporting worksheet for calculation of PEFs for each scenario, and QC input constants are provided in the 'QC Equation Constants' worksheet.</t>
    <phoneticPr fontId="65" type="noConversion"/>
  </si>
  <si>
    <r>
      <t>(19) From USEPA 2002 - A</t>
    </r>
    <r>
      <rPr>
        <vertAlign val="subscript"/>
        <sz val="9.5"/>
        <rFont val="Times New Roman"/>
        <family val="1"/>
      </rPr>
      <t>R</t>
    </r>
    <r>
      <rPr>
        <sz val="9.5"/>
        <rFont val="Times New Roman"/>
        <family val="1"/>
      </rPr>
      <t xml:space="preserve"> = L</t>
    </r>
    <r>
      <rPr>
        <vertAlign val="subscript"/>
        <sz val="9.5"/>
        <rFont val="Times New Roman"/>
        <family val="1"/>
      </rPr>
      <t>R</t>
    </r>
    <r>
      <rPr>
        <sz val="9.5"/>
        <rFont val="Times New Roman"/>
        <family val="1"/>
      </rPr>
      <t xml:space="preserve"> </t>
    </r>
    <r>
      <rPr>
        <sz val="9.5"/>
        <rFont val="Symbol"/>
        <family val="1"/>
      </rPr>
      <t>´</t>
    </r>
    <r>
      <rPr>
        <sz val="9.5"/>
        <rFont val="Times New Roman"/>
        <family val="1"/>
      </rPr>
      <t xml:space="preserve"> W</t>
    </r>
    <r>
      <rPr>
        <vertAlign val="subscript"/>
        <sz val="9.5"/>
        <rFont val="Times New Roman"/>
        <family val="1"/>
      </rPr>
      <t xml:space="preserve">R </t>
    </r>
    <r>
      <rPr>
        <sz val="9.5"/>
        <rFont val="Times New Roman"/>
        <family val="1"/>
      </rPr>
      <t>* 0.092903 m2/ft2</t>
    </r>
  </si>
  <si>
    <r>
      <t>Road surface silt content %</t>
    </r>
    <r>
      <rPr>
        <vertAlign val="superscript"/>
        <sz val="10"/>
        <rFont val="Times New Roman"/>
        <family val="1"/>
      </rPr>
      <t>(17)</t>
    </r>
  </si>
  <si>
    <r>
      <t>Road surface material moisture content under dry, uncontrollable conditions</t>
    </r>
    <r>
      <rPr>
        <vertAlign val="superscript"/>
        <sz val="10"/>
        <rFont val="Times New Roman"/>
        <family val="1"/>
      </rPr>
      <t>(17)</t>
    </r>
  </si>
  <si>
    <t xml:space="preserve">(17) Average of site data </t>
  </si>
  <si>
    <t>Asbestos data should be input by the user in the worksheet 'Data and Analytical Sensitivity' - if the data are entered properly, then the pooled analytical sensitivity and the number of fibers are brought into this worksheet.</t>
    <phoneticPr fontId="65" type="noConversion"/>
  </si>
  <si>
    <t>The worksheet 'BCL Asbestos' is, instead, a planning worksheet.  The number of asbestos samples needed to satisfy some DQO constraints can be calculated using this worksheet.</t>
    <phoneticPr fontId="65" type="noConversion"/>
  </si>
  <si>
    <t>Footnotes in the PEF spreadsheets that have a yellow background indicate variables that can be changed if site specific information is available.</t>
    <phoneticPr fontId="65" type="noConversion"/>
  </si>
  <si>
    <t>Inputs that have a light green background can be changed with concurrence from NDEP (e.g., Exposure parameters in rows 53-58 of this worksheet).</t>
    <phoneticPr fontId="65" type="noConversion"/>
  </si>
  <si>
    <t>This worksheet presents calculation of asbestos related risks.  Some inputs are contained in this worksheet, such as URFs and exposure parameters.</t>
    <phoneticPr fontId="65" type="noConversion"/>
  </si>
  <si>
    <r>
      <t>2</t>
    </r>
    <r>
      <rPr>
        <sz val="11"/>
        <color indexed="8"/>
        <rFont val="Calibri"/>
        <family val="2"/>
      </rPr>
      <t xml:space="preserve"> Unit risk adjustment factors are a summation of relative exposure intensity across scenarios but are not used in the risk calculations as a direct variable.  Because the risk calculations deal with soil concentrations rather than air concentrations, it was decided that exposure parameters be written out in their entirety in the risk equations.  Therefore the unit risk adjustment factors are included here as a reference point only.</t>
    </r>
    <phoneticPr fontId="65" type="noConversion"/>
  </si>
  <si>
    <t>Exposure Parameter References</t>
    <phoneticPr fontId="65" type="noConversion"/>
  </si>
  <si>
    <t>Refer to NDEP Guidance document for detailed explanation</t>
    <phoneticPr fontId="65" type="noConversion"/>
  </si>
  <si>
    <r>
      <t>Unit Risk Adjustment Factor (time on-site / effects averaging time)</t>
    </r>
    <r>
      <rPr>
        <b/>
        <i/>
        <vertAlign val="superscript"/>
        <sz val="11"/>
        <color indexed="8"/>
        <rFont val="Calibri"/>
        <family val="2"/>
      </rPr>
      <t>2</t>
    </r>
    <phoneticPr fontId="65" type="noConversion"/>
  </si>
  <si>
    <r>
      <rPr>
        <vertAlign val="superscript"/>
        <sz val="11"/>
        <color indexed="8"/>
        <rFont val="Calibri"/>
        <family val="2"/>
      </rPr>
      <t xml:space="preserve">1 </t>
    </r>
    <r>
      <rPr>
        <sz val="11"/>
        <color indexed="8"/>
        <rFont val="Calibri"/>
        <family val="2"/>
      </rPr>
      <t xml:space="preserve">The risk factors presented here are based on the Berman and Crump (2003) protocol.  This protocol assigns different potency factors to each ot the two general asbestos types (i.e., amphibole and chrysotile).  The values presented also assume that 50% of the structures will be longer than 10 um and that risks are averaged over the smokers and the non-smokers of the population.  It should be noted that the URFs presented here can only be applied to the structures satisfying the dimensional requirements defined for the recommended exposure index in Berman and Crump (2003).  </t>
    </r>
    <r>
      <rPr>
        <b/>
        <i/>
        <sz val="11"/>
        <color indexed="10"/>
        <rFont val="Calibri"/>
        <family val="2"/>
      </rPr>
      <t>APPLYING THESE RISK FACTORS TO ANY OTHER SIZE RANGE OF STRUCTURES IS NOT VALID!</t>
    </r>
    <phoneticPr fontId="65" type="noConversion"/>
  </si>
  <si>
    <r>
      <rPr>
        <sz val="9.5"/>
        <rFont val="Times New Roman"/>
        <family val="1"/>
      </rPr>
      <t>(19)</t>
    </r>
    <r>
      <rPr>
        <vertAlign val="superscript"/>
        <sz val="9.5"/>
        <rFont val="Times New Roman"/>
        <family val="1"/>
      </rPr>
      <t xml:space="preserve"> </t>
    </r>
    <r>
      <rPr>
        <sz val="9.5"/>
        <rFont val="Times New Roman"/>
        <family val="1"/>
      </rPr>
      <t>From USEPA 2002 - M</t>
    </r>
    <r>
      <rPr>
        <vertAlign val="subscript"/>
        <sz val="9.5"/>
        <rFont val="Times New Roman"/>
        <family val="1"/>
      </rPr>
      <t xml:space="preserve">road </t>
    </r>
    <r>
      <rPr>
        <sz val="9.5"/>
        <rFont val="Times New Roman"/>
        <family val="1"/>
      </rPr>
      <t>= [2.6</t>
    </r>
    <r>
      <rPr>
        <sz val="9.5"/>
        <rFont val="Symbol"/>
        <family val="1"/>
      </rPr>
      <t xml:space="preserve"> ´ </t>
    </r>
    <r>
      <rPr>
        <sz val="9.5"/>
        <rFont val="Times New Roman"/>
        <family val="1"/>
      </rPr>
      <t>(s/12)</t>
    </r>
    <r>
      <rPr>
        <vertAlign val="superscript"/>
        <sz val="9.5"/>
        <rFont val="Times New Roman"/>
        <family val="1"/>
      </rPr>
      <t>0.8</t>
    </r>
    <r>
      <rPr>
        <sz val="9.5"/>
        <rFont val="Times New Roman"/>
        <family val="1"/>
      </rPr>
      <t xml:space="preserve"> </t>
    </r>
    <r>
      <rPr>
        <sz val="9.5"/>
        <rFont val="Symbol"/>
        <family val="1"/>
      </rPr>
      <t>´</t>
    </r>
    <r>
      <rPr>
        <sz val="9.5"/>
        <rFont val="Times New Roman"/>
        <family val="1"/>
      </rPr>
      <t xml:space="preserve"> (W/3)</t>
    </r>
    <r>
      <rPr>
        <vertAlign val="superscript"/>
        <sz val="9.5"/>
        <rFont val="Times New Roman"/>
        <family val="1"/>
      </rPr>
      <t>0.4</t>
    </r>
    <r>
      <rPr>
        <sz val="9.5"/>
        <rFont val="Times New Roman"/>
        <family val="1"/>
      </rPr>
      <t>/(M/0.2)</t>
    </r>
    <r>
      <rPr>
        <vertAlign val="superscript"/>
        <sz val="9.5"/>
        <rFont val="Times New Roman"/>
        <family val="1"/>
      </rPr>
      <t>0.3</t>
    </r>
    <r>
      <rPr>
        <sz val="9.5"/>
        <rFont val="Times New Roman"/>
        <family val="1"/>
      </rPr>
      <t xml:space="preserve">] </t>
    </r>
    <r>
      <rPr>
        <sz val="9.5"/>
        <rFont val="Symbol"/>
        <family val="1"/>
      </rPr>
      <t>´</t>
    </r>
    <r>
      <rPr>
        <sz val="9.5"/>
        <rFont val="Times New Roman"/>
        <family val="1"/>
      </rPr>
      <t xml:space="preserve"> [(365-p)/365] </t>
    </r>
    <r>
      <rPr>
        <sz val="9.5"/>
        <rFont val="Symbol"/>
        <family val="1"/>
      </rPr>
      <t>´</t>
    </r>
    <r>
      <rPr>
        <sz val="9.5"/>
        <rFont val="Times New Roman"/>
        <family val="1"/>
      </rPr>
      <t xml:space="preserve"> 281.9 </t>
    </r>
    <r>
      <rPr>
        <sz val="9.5"/>
        <rFont val="Symbol"/>
        <family val="1"/>
      </rPr>
      <t>´</t>
    </r>
    <r>
      <rPr>
        <sz val="9.5"/>
        <rFont val="Times New Roman"/>
        <family val="1"/>
      </rPr>
      <t xml:space="preserve"> </t>
    </r>
    <r>
      <rPr>
        <sz val="9.5"/>
        <rFont val="Arial"/>
        <family val="2"/>
      </rPr>
      <t>∑</t>
    </r>
    <r>
      <rPr>
        <sz val="9.5"/>
        <rFont val="Times New Roman"/>
        <family val="1"/>
      </rPr>
      <t>VKT</t>
    </r>
    <r>
      <rPr>
        <vertAlign val="subscript"/>
        <sz val="9.5"/>
        <rFont val="Times New Roman"/>
        <family val="1"/>
      </rPr>
      <t>road</t>
    </r>
  </si>
  <si>
    <r>
      <t>Fugitive Dust from Traffic on Unpaved Roads</t>
    </r>
    <r>
      <rPr>
        <b/>
        <vertAlign val="superscript"/>
        <sz val="10"/>
        <rFont val="Times New Roman"/>
        <family val="1"/>
      </rPr>
      <t>(19)</t>
    </r>
  </si>
  <si>
    <r>
      <t>(20) PEF</t>
    </r>
    <r>
      <rPr>
        <vertAlign val="subscript"/>
        <sz val="9.5"/>
        <rFont val="Times New Roman"/>
        <family val="1"/>
      </rPr>
      <t>OFF</t>
    </r>
    <r>
      <rPr>
        <sz val="9.5"/>
        <rFont val="Times New Roman"/>
        <family val="1"/>
      </rPr>
      <t xml:space="preserve"> = Q/C</t>
    </r>
    <r>
      <rPr>
        <vertAlign val="subscript"/>
        <sz val="9.5"/>
        <rFont val="Times New Roman"/>
        <family val="1"/>
      </rPr>
      <t>OFF</t>
    </r>
    <r>
      <rPr>
        <sz val="9.5"/>
        <rFont val="Times New Roman"/>
        <family val="1"/>
      </rPr>
      <t xml:space="preserve"> *(1/J'</t>
    </r>
    <r>
      <rPr>
        <vertAlign val="subscript"/>
        <sz val="9.5"/>
        <rFont val="Times New Roman"/>
        <family val="1"/>
      </rPr>
      <t>T OFF</t>
    </r>
    <r>
      <rPr>
        <sz val="9.5"/>
        <rFont val="Times New Roman"/>
        <family val="1"/>
      </rPr>
      <t>)</t>
    </r>
  </si>
  <si>
    <r>
      <t>Offsite PEF</t>
    </r>
    <r>
      <rPr>
        <b/>
        <vertAlign val="superscript"/>
        <sz val="10"/>
        <rFont val="Times New Roman"/>
        <family val="1"/>
      </rPr>
      <t>(20)</t>
    </r>
  </si>
  <si>
    <r>
      <t>Total outdoor ambient air dust concentration</t>
    </r>
    <r>
      <rPr>
        <b/>
        <vertAlign val="superscript"/>
        <sz val="10"/>
        <rFont val="Times New Roman"/>
        <family val="1"/>
      </rPr>
      <t>(21)</t>
    </r>
  </si>
  <si>
    <r>
      <t>(6) D</t>
    </r>
    <r>
      <rPr>
        <vertAlign val="subscript"/>
        <sz val="9.5"/>
        <rFont val="Times New Roman"/>
        <family val="1"/>
      </rPr>
      <t>Onsite Resident</t>
    </r>
    <r>
      <rPr>
        <sz val="9.5"/>
        <rFont val="Times New Roman"/>
        <family val="1"/>
      </rPr>
      <t xml:space="preserve"> = 1/PEF</t>
    </r>
    <r>
      <rPr>
        <vertAlign val="subscript"/>
        <sz val="9.5"/>
        <rFont val="Times New Roman"/>
        <family val="1"/>
      </rPr>
      <t>Onsite Resident</t>
    </r>
  </si>
  <si>
    <t>Time of Exposure (ET)</t>
  </si>
  <si>
    <t>Particulate Emission Factor (PEF)</t>
  </si>
  <si>
    <t>Unit Risk Factor (Chrysotile URF)</t>
  </si>
  <si>
    <r>
      <t>R</t>
    </r>
    <r>
      <rPr>
        <vertAlign val="subscript"/>
        <sz val="12"/>
        <color indexed="8"/>
        <rFont val="Calibri"/>
        <family val="2"/>
      </rPr>
      <t>lung cancer</t>
    </r>
  </si>
  <si>
    <r>
      <t>R</t>
    </r>
    <r>
      <rPr>
        <vertAlign val="subscript"/>
        <sz val="12"/>
        <color indexed="8"/>
        <rFont val="Calibri"/>
        <family val="2"/>
      </rPr>
      <t>mesothelioma</t>
    </r>
  </si>
  <si>
    <r>
      <t>R</t>
    </r>
    <r>
      <rPr>
        <vertAlign val="subscript"/>
        <sz val="12"/>
        <color indexed="8"/>
        <rFont val="Calibri"/>
        <family val="2"/>
      </rPr>
      <t>combined</t>
    </r>
  </si>
  <si>
    <r>
      <t>URF</t>
    </r>
    <r>
      <rPr>
        <vertAlign val="subscript"/>
        <sz val="12"/>
        <color indexed="8"/>
        <rFont val="Calibri"/>
        <family val="2"/>
      </rPr>
      <t>lung cancer</t>
    </r>
  </si>
  <si>
    <r>
      <t>URF</t>
    </r>
    <r>
      <rPr>
        <vertAlign val="subscript"/>
        <sz val="12"/>
        <color indexed="8"/>
        <rFont val="Calibri"/>
        <family val="2"/>
      </rPr>
      <t>mesothelioma</t>
    </r>
  </si>
  <si>
    <r>
      <t>URF</t>
    </r>
    <r>
      <rPr>
        <vertAlign val="subscript"/>
        <sz val="12"/>
        <color indexed="8"/>
        <rFont val="Calibri"/>
        <family val="2"/>
      </rPr>
      <t>combined</t>
    </r>
  </si>
  <si>
    <t>EF:  USEPA (2014).  EF for generic worker (250 d/yr) applied to Construction because it is larger than that for Outdoor Worker (225 d/yr).</t>
  </si>
  <si>
    <t>ED:  USEPA (2014).</t>
  </si>
  <si>
    <r>
      <t>ET</t>
    </r>
    <r>
      <rPr>
        <vertAlign val="subscript"/>
        <sz val="11"/>
        <color theme="1"/>
        <rFont val="Calibri"/>
        <family val="2"/>
        <scheme val="minor"/>
      </rPr>
      <t>in</t>
    </r>
    <r>
      <rPr>
        <sz val="11"/>
        <color theme="1"/>
        <rFont val="Calibri"/>
        <family val="2"/>
        <scheme val="minor"/>
      </rPr>
      <t>:  An 8-hour workday is assumed for the occupational scenarios (USEPA, 2014).  Resident: unweighted average adult age categories 16 to &gt;64 years (USEPA 2011; Table ES-1).</t>
    </r>
  </si>
  <si>
    <r>
      <t>ET</t>
    </r>
    <r>
      <rPr>
        <vertAlign val="subscript"/>
        <sz val="11"/>
        <color theme="1"/>
        <rFont val="Calibri"/>
        <family val="2"/>
        <scheme val="minor"/>
      </rPr>
      <t>out</t>
    </r>
    <r>
      <rPr>
        <sz val="11"/>
        <color theme="1"/>
        <rFont val="Calibri"/>
        <family val="2"/>
        <scheme val="minor"/>
      </rPr>
      <t>:  An 8-hour workday is assumed for the occupational scenarios (USEPA, 2014).  24 hr/day exposure is assumed for a resident (USEPA, 2014).</t>
    </r>
  </si>
  <si>
    <r>
      <t>ATT</t>
    </r>
    <r>
      <rPr>
        <vertAlign val="subscript"/>
        <sz val="11"/>
        <color theme="1"/>
        <rFont val="Calibri"/>
        <family val="2"/>
        <scheme val="minor"/>
      </rPr>
      <t>in</t>
    </r>
    <r>
      <rPr>
        <sz val="11"/>
        <color theme="1"/>
        <rFont val="Calibri"/>
        <family val="2"/>
        <scheme val="minor"/>
      </rPr>
      <t>: USEPA (2000), Section 2.3.</t>
    </r>
  </si>
  <si>
    <r>
      <t>Indoor Exposure Time (ET</t>
    </r>
    <r>
      <rPr>
        <vertAlign val="subscript"/>
        <sz val="11"/>
        <color indexed="8"/>
        <rFont val="Calibri"/>
        <family val="2"/>
      </rPr>
      <t>in</t>
    </r>
    <r>
      <rPr>
        <sz val="11"/>
        <color theme="1"/>
        <rFont val="Calibri"/>
        <family val="2"/>
        <scheme val="minor"/>
      </rPr>
      <t>)</t>
    </r>
  </si>
  <si>
    <r>
      <t>Outdoor Exposure Time (ET</t>
    </r>
    <r>
      <rPr>
        <vertAlign val="subscript"/>
        <sz val="11"/>
        <color indexed="8"/>
        <rFont val="Calibri"/>
        <family val="2"/>
      </rPr>
      <t>out</t>
    </r>
    <r>
      <rPr>
        <sz val="11"/>
        <color theme="1"/>
        <rFont val="Calibri"/>
        <family val="2"/>
        <scheme val="minor"/>
      </rPr>
      <t>)</t>
    </r>
  </si>
  <si>
    <r>
      <t>Weighted Exposure Time (ET</t>
    </r>
    <r>
      <rPr>
        <vertAlign val="subscript"/>
        <sz val="11"/>
        <color theme="1"/>
        <rFont val="Calibri"/>
        <family val="2"/>
        <scheme val="minor"/>
      </rPr>
      <t>wtd</t>
    </r>
    <r>
      <rPr>
        <sz val="11"/>
        <color theme="1"/>
        <rFont val="Calibri"/>
        <family val="2"/>
        <scheme val="minor"/>
      </rPr>
      <t>)</t>
    </r>
  </si>
  <si>
    <t>USEPA 2011. Exposure Factors Handbook: 2011 Edition, EPA/600/R 090/052F</t>
  </si>
  <si>
    <t>USEPA 2000. Soil Screening Guidance for Radionuclides: Technical Background Document, EPA/540-R-00-006</t>
  </si>
  <si>
    <t>USEPA 2014. Human Health Evaluation Manual, Supplemental Guidance: Update of Standard Default Exposure Factors, OSWER Directive 9200.1-120</t>
  </si>
  <si>
    <t>Length of human lifetime (years)</t>
  </si>
  <si>
    <t>Averaging Time (AT)  [lifetime (yr) * 365 d/yr * 24 hr/d]</t>
  </si>
  <si>
    <t>lifetime:  USEPA (2014).</t>
  </si>
  <si>
    <t>TSB-HJ-01-0_1/18/2008</t>
  </si>
  <si>
    <t>TSB-HJ-02-0_1/18/2008</t>
  </si>
  <si>
    <t>TSB-HJ-03-0_1/18/2008</t>
  </si>
  <si>
    <t>TSB-HJ-04-0_1/18/2008</t>
  </si>
  <si>
    <t>TSB-HJ-05-0_1/18/2008</t>
  </si>
  <si>
    <t>TSB-HJ-06-0_1/18/2008</t>
  </si>
  <si>
    <t>TSB-HJ-07-0_1/18/2008</t>
  </si>
  <si>
    <t>TSB-HJ-08-0_1/18/2008</t>
  </si>
  <si>
    <t>W4-PH-1-1-0.0</t>
  </si>
  <si>
    <t>TSB-HJ-09-NE-0</t>
  </si>
  <si>
    <t>TSB-HJ-10-0_1/18/2008</t>
  </si>
  <si>
    <t>TSB-HJ-11-0_1/18/2008</t>
  </si>
  <si>
    <t>TSB-HJ-12-0_7/8/2008</t>
  </si>
  <si>
    <t>TSB-HJ-13-0_7/8/2008</t>
  </si>
  <si>
    <t>TSB-HR-01-0_1/18/2008</t>
  </si>
  <si>
    <t>TSB-HR-02-0_1/18/2008</t>
  </si>
  <si>
    <t>TSB-HR-03-0_1/18/2008</t>
  </si>
  <si>
    <t>TSB-HR-04-0_1/18/2008</t>
  </si>
  <si>
    <t>TSB-HR-05-0_1/18/2008</t>
  </si>
  <si>
    <t>V5-PH-1-1-0.0</t>
  </si>
  <si>
    <t>TSB-HR-07-0_1/18/2008</t>
  </si>
  <si>
    <t>TSB-HR-07-0 FD_1/18/2008</t>
  </si>
  <si>
    <t>TSB-HR-08-0_1/18/2008</t>
  </si>
  <si>
    <t>RSAU6-0.0B</t>
  </si>
  <si>
    <t>RSAU7-0.0B</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</si>
</sst>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 E+0"/>
    <numFmt numFmtId="165" formatCode="0.0000"/>
    <numFmt numFmtId="166" formatCode="General_)"/>
    <numFmt numFmtId="167" formatCode="0.000"/>
    <numFmt numFmtId="168" formatCode="0.0E+00"/>
    <numFmt numFmtId="169" formatCode="0.0"/>
    <numFmt numFmtId="170" formatCode="0E+00"/>
  </numFmts>
  <fonts count="79" x14ac:knownFonts="1">
    <font>
      <sz val="11"/>
      <color theme="1"/>
      <name val="Calibri"/>
      <family val="2"/>
      <scheme val="minor"/>
    </font>
    <font>
      <b/>
      <sz val="11"/>
      <color indexed="8"/>
      <name val="Calibri"/>
      <family val="2"/>
    </font>
    <font>
      <vertAlign val="superscript"/>
      <sz val="11"/>
      <color indexed="8"/>
      <name val="Calibri"/>
      <family val="2"/>
    </font>
    <font>
      <vertAlign val="subscript"/>
      <sz val="11"/>
      <color indexed="8"/>
      <name val="Calibri"/>
      <family val="2"/>
    </font>
    <font>
      <i/>
      <sz val="11"/>
      <color indexed="8"/>
      <name val="Calibri"/>
      <family val="2"/>
    </font>
    <font>
      <sz val="10"/>
      <name val="MS Sans Serif"/>
      <family val="2"/>
    </font>
    <font>
      <b/>
      <sz val="10"/>
      <name val="Times New Roman"/>
      <family val="1"/>
    </font>
    <font>
      <sz val="10"/>
      <name val="Arial"/>
      <family val="2"/>
    </font>
    <font>
      <b/>
      <vertAlign val="superscript"/>
      <sz val="10"/>
      <name val="Times New Roman"/>
      <family val="1"/>
    </font>
    <font>
      <sz val="10"/>
      <name val="Times New Roman"/>
      <family val="1"/>
    </font>
    <font>
      <vertAlign val="subscript"/>
      <sz val="10"/>
      <name val="Times New Roman"/>
      <family val="1"/>
    </font>
    <font>
      <vertAlign val="superscript"/>
      <sz val="10"/>
      <name val="Times New Roman"/>
      <family val="1"/>
    </font>
    <font>
      <sz val="10"/>
      <name val="Symbol"/>
      <family val="1"/>
    </font>
    <font>
      <vertAlign val="superscript"/>
      <sz val="11.5"/>
      <name val="Times New Roman"/>
      <family val="1"/>
    </font>
    <font>
      <sz val="10"/>
      <color indexed="8"/>
      <name val="Times New Roman"/>
      <family val="1"/>
    </font>
    <font>
      <b/>
      <vertAlign val="subscript"/>
      <sz val="10"/>
      <name val="Times New Roman"/>
      <family val="1"/>
    </font>
    <font>
      <sz val="9.5"/>
      <name val="Times New Roman"/>
      <family val="1"/>
    </font>
    <font>
      <vertAlign val="subscript"/>
      <sz val="9.5"/>
      <name val="Times New Roman"/>
      <family val="1"/>
    </font>
    <font>
      <sz val="9.5"/>
      <name val="Symbol"/>
      <family val="1"/>
    </font>
    <font>
      <vertAlign val="superscript"/>
      <sz val="9.5"/>
      <name val="Times New Roman"/>
      <family val="1"/>
    </font>
    <font>
      <sz val="9"/>
      <name val="Times New Roman"/>
      <family val="1"/>
    </font>
    <font>
      <vertAlign val="superscript"/>
      <sz val="9"/>
      <name val="Times New Roman"/>
      <family val="1"/>
    </font>
    <font>
      <sz val="12"/>
      <name val="Courier"/>
      <family val="3"/>
    </font>
    <font>
      <sz val="9.5"/>
      <name val="Arial"/>
      <family val="2"/>
    </font>
    <font>
      <b/>
      <i/>
      <sz val="11"/>
      <color indexed="8"/>
      <name val="Calibri"/>
      <family val="2"/>
    </font>
    <font>
      <sz val="11"/>
      <name val="Calibri"/>
      <family val="2"/>
    </font>
    <font>
      <vertAlign val="superscript"/>
      <sz val="11"/>
      <name val="Calibri"/>
      <family val="2"/>
    </font>
    <font>
      <b/>
      <vertAlign val="subscript"/>
      <sz val="11"/>
      <color indexed="8"/>
      <name val="Calibri"/>
      <family val="2"/>
    </font>
    <font>
      <vertAlign val="superscript"/>
      <sz val="8"/>
      <color indexed="8"/>
      <name val="Calibri"/>
      <family val="2"/>
    </font>
    <font>
      <i/>
      <vertAlign val="subscript"/>
      <sz val="11"/>
      <color indexed="8"/>
      <name val="Calibri"/>
      <family val="2"/>
    </font>
    <font>
      <sz val="12"/>
      <name val="Times New Roman"/>
      <family val="1"/>
    </font>
    <font>
      <b/>
      <sz val="12"/>
      <name val="Times New Roman"/>
      <family val="1"/>
    </font>
    <font>
      <b/>
      <vertAlign val="superscript"/>
      <sz val="12"/>
      <name val="Times New Roman"/>
      <family val="1"/>
    </font>
    <font>
      <b/>
      <vertAlign val="subscript"/>
      <sz val="12"/>
      <name val="Times New Roman"/>
      <family val="1"/>
    </font>
    <font>
      <i/>
      <vertAlign val="superscript"/>
      <sz val="11"/>
      <color indexed="8"/>
      <name val="Calibri"/>
      <family val="2"/>
    </font>
    <font>
      <b/>
      <vertAlign val="superscript"/>
      <sz val="11"/>
      <color indexed="8"/>
      <name val="Calibri"/>
      <family val="2"/>
    </font>
    <font>
      <sz val="11"/>
      <color indexed="8"/>
      <name val="Calibri"/>
      <family val="2"/>
    </font>
    <font>
      <i/>
      <sz val="11"/>
      <name val="Calibri"/>
      <family val="2"/>
    </font>
    <font>
      <b/>
      <i/>
      <sz val="10"/>
      <name val="Times New Roman"/>
      <family val="1"/>
    </font>
    <font>
      <i/>
      <sz val="12"/>
      <color indexed="8"/>
      <name val="Calibri"/>
      <family val="2"/>
    </font>
    <font>
      <i/>
      <vertAlign val="superscript"/>
      <sz val="12"/>
      <color indexed="8"/>
      <name val="Calibri"/>
      <family val="2"/>
    </font>
    <font>
      <vertAlign val="superscript"/>
      <sz val="12"/>
      <color indexed="8"/>
      <name val="Calibri"/>
      <family val="2"/>
    </font>
    <font>
      <sz val="12"/>
      <color indexed="8"/>
      <name val="Calibri"/>
      <family val="2"/>
    </font>
    <font>
      <i/>
      <vertAlign val="subscript"/>
      <sz val="12"/>
      <color indexed="8"/>
      <name val="Calibri"/>
      <family val="2"/>
    </font>
    <font>
      <b/>
      <i/>
      <sz val="11"/>
      <color indexed="10"/>
      <name val="Calibri"/>
      <family val="2"/>
    </font>
    <font>
      <vertAlign val="subscript"/>
      <sz val="12"/>
      <color indexed="8"/>
      <name val="Calibri"/>
      <family val="2"/>
    </font>
    <font>
      <b/>
      <i/>
      <vertAlign val="subscript"/>
      <sz val="11"/>
      <color indexed="8"/>
      <name val="Calibri"/>
      <family val="2"/>
    </font>
    <font>
      <sz val="8"/>
      <color indexed="81"/>
      <name val="Tahoma"/>
      <family val="2"/>
    </font>
    <font>
      <b/>
      <sz val="8"/>
      <color indexed="81"/>
      <name val="Tahoma"/>
      <family val="2"/>
    </font>
    <font>
      <b/>
      <sz val="11"/>
      <color indexed="8"/>
      <name val="Calibri"/>
      <family val="2"/>
    </font>
    <font>
      <sz val="10"/>
      <color indexed="8"/>
      <name val="Times New Roman"/>
      <family val="1"/>
    </font>
    <font>
      <b/>
      <i/>
      <sz val="11"/>
      <color indexed="8"/>
      <name val="Calibri"/>
      <family val="2"/>
    </font>
    <font>
      <sz val="11"/>
      <name val="Calibri"/>
      <family val="2"/>
    </font>
    <font>
      <vertAlign val="superscript"/>
      <sz val="8"/>
      <color indexed="8"/>
      <name val="Calibri"/>
      <family val="2"/>
    </font>
    <font>
      <sz val="10"/>
      <color indexed="63"/>
      <name val="Cambria"/>
      <family val="1"/>
    </font>
    <font>
      <vertAlign val="superscript"/>
      <sz val="11"/>
      <color indexed="8"/>
      <name val="Calibri"/>
      <family val="2"/>
    </font>
    <font>
      <b/>
      <i/>
      <sz val="14"/>
      <color indexed="8"/>
      <name val="Calibri"/>
      <family val="2"/>
    </font>
    <font>
      <b/>
      <sz val="12"/>
      <color indexed="8"/>
      <name val="Calibri"/>
      <family val="2"/>
    </font>
    <font>
      <i/>
      <sz val="11"/>
      <color indexed="8"/>
      <name val="Calibri"/>
      <family val="2"/>
    </font>
    <font>
      <b/>
      <i/>
      <sz val="16"/>
      <color indexed="8"/>
      <name val="Calibri"/>
      <family val="2"/>
    </font>
    <font>
      <sz val="11"/>
      <color indexed="10"/>
      <name val="Calibri"/>
      <family val="2"/>
    </font>
    <font>
      <i/>
      <vertAlign val="superscript"/>
      <sz val="12"/>
      <color indexed="8"/>
      <name val="Calibri"/>
      <family val="2"/>
    </font>
    <font>
      <sz val="11"/>
      <color indexed="8"/>
      <name val="Calibri"/>
      <family val="2"/>
    </font>
    <font>
      <b/>
      <i/>
      <sz val="11"/>
      <name val="Calibri"/>
      <family val="2"/>
    </font>
    <font>
      <b/>
      <sz val="14"/>
      <color indexed="8"/>
      <name val="Calibri"/>
      <family val="2"/>
    </font>
    <font>
      <sz val="8"/>
      <name val="Verdana"/>
      <family val="2"/>
    </font>
    <font>
      <b/>
      <i/>
      <vertAlign val="subscript"/>
      <sz val="14"/>
      <color indexed="8"/>
      <name val="Calibri"/>
      <family val="2"/>
    </font>
    <font>
      <b/>
      <sz val="11"/>
      <color indexed="8"/>
      <name val="Calibri"/>
      <family val="2"/>
    </font>
    <font>
      <i/>
      <sz val="11"/>
      <color indexed="8"/>
      <name val="Calibri"/>
      <family val="2"/>
    </font>
    <font>
      <vertAlign val="superscript"/>
      <sz val="9"/>
      <color indexed="8"/>
      <name val="Calibri"/>
      <family val="2"/>
    </font>
    <font>
      <sz val="9"/>
      <color indexed="8"/>
      <name val="Calibri"/>
      <family val="2"/>
    </font>
    <font>
      <sz val="16"/>
      <color indexed="8"/>
      <name val="Calibri"/>
      <family val="2"/>
    </font>
    <font>
      <vertAlign val="subscript"/>
      <sz val="11"/>
      <name val="Calibri"/>
      <family val="2"/>
    </font>
    <font>
      <i/>
      <sz val="10"/>
      <name val="Times New Roman"/>
      <family val="1"/>
    </font>
    <font>
      <vertAlign val="subscript"/>
      <sz val="11"/>
      <color theme="1"/>
      <name val="Calibri"/>
      <family val="2"/>
      <scheme val="minor"/>
    </font>
    <font>
      <vertAlign val="superscript"/>
      <sz val="11"/>
      <color theme="1"/>
      <name val="Calibri"/>
      <family val="2"/>
      <scheme val="minor"/>
    </font>
    <font>
      <b/>
      <i/>
      <vertAlign val="superscript"/>
      <sz val="11"/>
      <color indexed="8"/>
      <name val="Calibri"/>
      <family val="2"/>
    </font>
    <font>
      <sz val="10"/>
      <color indexed="81"/>
      <name val="Tahoma"/>
      <family val="2"/>
    </font>
    <font>
      <b/>
      <sz val="10"/>
      <color indexed="81"/>
      <name val="Tahoma"/>
      <family val="2"/>
    </font>
  </fonts>
  <fills count="10">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11"/>
        <bgColor indexed="64"/>
      </patternFill>
    </fill>
    <fill>
      <patternFill patternType="solid">
        <fgColor rgb="FFFFFF99"/>
        <bgColor indexed="64"/>
      </patternFill>
    </fill>
  </fills>
  <borders count="70">
    <border>
      <left/>
      <right/>
      <top/>
      <bottom/>
      <diagonal/>
    </border>
    <border>
      <left/>
      <right/>
      <top style="thin">
        <color indexed="64"/>
      </top>
      <bottom style="thin">
        <color indexed="64"/>
      </bottom>
      <diagonal/>
    </border>
    <border>
      <left/>
      <right/>
      <top/>
      <bottom style="thin">
        <color indexed="64"/>
      </bottom>
      <diagonal/>
    </border>
    <border>
      <left/>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double">
        <color indexed="64"/>
      </bottom>
      <diagonal/>
    </border>
    <border>
      <left style="medium">
        <color indexed="64"/>
      </left>
      <right/>
      <top style="medium">
        <color indexed="64"/>
      </top>
      <bottom/>
      <diagonal/>
    </border>
    <border>
      <left/>
      <right style="thin">
        <color indexed="64"/>
      </right>
      <top/>
      <bottom/>
      <diagonal/>
    </border>
    <border>
      <left style="medium">
        <color indexed="64"/>
      </left>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diagonal/>
    </border>
    <border>
      <left style="thin">
        <color indexed="64"/>
      </left>
      <right style="medium">
        <color indexed="64"/>
      </right>
      <top/>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right/>
      <top style="thin">
        <color indexed="64"/>
      </top>
      <bottom style="double">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style="thin">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bottom style="thick">
        <color indexed="64"/>
      </bottom>
      <diagonal/>
    </border>
    <border>
      <left style="double">
        <color indexed="64"/>
      </left>
      <right/>
      <top/>
      <bottom/>
      <diagonal/>
    </border>
    <border>
      <left style="thick">
        <color indexed="64"/>
      </left>
      <right/>
      <top style="thin">
        <color indexed="64"/>
      </top>
      <bottom style="double">
        <color indexed="64"/>
      </bottom>
      <diagonal/>
    </border>
    <border>
      <left style="thick">
        <color indexed="64"/>
      </left>
      <right/>
      <top/>
      <bottom style="double">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thick">
        <color indexed="64"/>
      </top>
      <bottom style="thin">
        <color indexed="64"/>
      </bottom>
      <diagonal/>
    </border>
    <border>
      <left style="thin">
        <color indexed="64"/>
      </left>
      <right style="thick">
        <color indexed="64"/>
      </right>
      <top/>
      <bottom style="thin">
        <color indexed="64"/>
      </bottom>
      <diagonal/>
    </border>
    <border>
      <left/>
      <right style="thick">
        <color indexed="64"/>
      </right>
      <top style="thick">
        <color indexed="64"/>
      </top>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thick">
        <color indexed="64"/>
      </right>
      <top style="thin">
        <color indexed="64"/>
      </top>
      <bottom/>
      <diagonal/>
    </border>
    <border>
      <left/>
      <right style="thick">
        <color indexed="64"/>
      </right>
      <top/>
      <bottom style="double">
        <color indexed="64"/>
      </bottom>
      <diagonal/>
    </border>
    <border>
      <left style="thick">
        <color indexed="64"/>
      </left>
      <right/>
      <top style="thin">
        <color indexed="64"/>
      </top>
      <bottom/>
      <diagonal/>
    </border>
    <border>
      <left/>
      <right style="double">
        <color indexed="64"/>
      </right>
      <top/>
      <bottom/>
      <diagonal/>
    </border>
    <border>
      <left/>
      <right style="double">
        <color indexed="64"/>
      </right>
      <top/>
      <bottom style="thick">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double">
        <color indexed="64"/>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ck">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thick">
        <color indexed="64"/>
      </right>
      <top style="thick">
        <color indexed="64"/>
      </top>
      <bottom style="thin">
        <color indexed="64"/>
      </bottom>
      <diagonal/>
    </border>
    <border>
      <left/>
      <right style="thick">
        <color indexed="64"/>
      </right>
      <top style="medium">
        <color indexed="64"/>
      </top>
      <bottom/>
      <diagonal/>
    </border>
    <border>
      <left/>
      <right style="thick">
        <color indexed="64"/>
      </right>
      <top/>
      <bottom style="thin">
        <color indexed="64"/>
      </bottom>
      <diagonal/>
    </border>
    <border>
      <left/>
      <right style="medium">
        <color indexed="64"/>
      </right>
      <top/>
      <bottom style="double">
        <color indexed="64"/>
      </bottom>
      <diagonal/>
    </border>
    <border>
      <left/>
      <right/>
      <top style="thick">
        <color indexed="64"/>
      </top>
      <bottom style="thick">
        <color indexed="64"/>
      </bottom>
      <diagonal/>
    </border>
    <border>
      <left/>
      <right style="double">
        <color indexed="64"/>
      </right>
      <top style="thick">
        <color indexed="64"/>
      </top>
      <bottom style="thick">
        <color indexed="64"/>
      </bottom>
      <diagonal/>
    </border>
    <border>
      <left style="double">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double">
        <color indexed="64"/>
      </left>
      <right/>
      <top/>
      <bottom style="thin">
        <color indexed="64"/>
      </bottom>
      <diagonal/>
    </border>
  </borders>
  <cellStyleXfs count="6">
    <xf numFmtId="0" fontId="0" fillId="0" borderId="0"/>
    <xf numFmtId="0" fontId="7" fillId="0" borderId="0"/>
    <xf numFmtId="0" fontId="5" fillId="0" borderId="0"/>
    <xf numFmtId="166" fontId="22" fillId="0" borderId="0"/>
    <xf numFmtId="0" fontId="7" fillId="0" borderId="0"/>
    <xf numFmtId="0" fontId="9" fillId="0" borderId="0"/>
  </cellStyleXfs>
  <cellXfs count="351">
    <xf numFmtId="0" fontId="0" fillId="0" borderId="0" xfId="0"/>
    <xf numFmtId="0" fontId="49" fillId="0" borderId="0" xfId="0" applyFont="1"/>
    <xf numFmtId="0" fontId="6" fillId="0" borderId="1" xfId="2" applyFont="1" applyBorder="1" applyAlignment="1" applyProtection="1">
      <alignment horizontal="center"/>
      <protection locked="0"/>
    </xf>
    <xf numFmtId="2" fontId="6" fillId="0" borderId="1" xfId="2" applyNumberFormat="1" applyFont="1" applyBorder="1" applyAlignment="1" applyProtection="1">
      <alignment horizontal="center"/>
      <protection locked="0"/>
    </xf>
    <xf numFmtId="0" fontId="6" fillId="0" borderId="0" xfId="2" applyFont="1" applyBorder="1" applyAlignment="1" applyProtection="1">
      <alignment horizontal="centerContinuous"/>
      <protection locked="0"/>
    </xf>
    <xf numFmtId="2" fontId="6" fillId="0" borderId="0" xfId="2" applyNumberFormat="1" applyFont="1" applyBorder="1" applyAlignment="1" applyProtection="1">
      <alignment horizontal="centerContinuous"/>
      <protection locked="0"/>
    </xf>
    <xf numFmtId="0" fontId="6" fillId="0" borderId="0" xfId="2" applyFont="1" applyBorder="1" applyAlignment="1" applyProtection="1">
      <alignment horizontal="left"/>
      <protection locked="0"/>
    </xf>
    <xf numFmtId="2" fontId="9" fillId="0" borderId="0" xfId="2" applyNumberFormat="1" applyFont="1" applyBorder="1" applyAlignment="1" applyProtection="1">
      <alignment horizontal="center"/>
      <protection locked="0"/>
    </xf>
    <xf numFmtId="0" fontId="9" fillId="0" borderId="0" xfId="2" applyFont="1" applyBorder="1" applyAlignment="1" applyProtection="1">
      <alignment horizontal="center" vertical="center"/>
      <protection locked="0"/>
    </xf>
    <xf numFmtId="0" fontId="9" fillId="0" borderId="0" xfId="2" applyFont="1" applyBorder="1" applyAlignment="1" applyProtection="1">
      <alignment horizontal="left"/>
      <protection locked="0"/>
    </xf>
    <xf numFmtId="0" fontId="9" fillId="0" borderId="0" xfId="2" quotePrefix="1" applyFont="1" applyBorder="1" applyAlignment="1" applyProtection="1">
      <alignment horizontal="center" vertical="center"/>
      <protection locked="0"/>
    </xf>
    <xf numFmtId="0" fontId="9" fillId="0" borderId="0" xfId="2" applyFont="1" applyBorder="1" applyAlignment="1" applyProtection="1">
      <alignment horizontal="center"/>
      <protection locked="0"/>
    </xf>
    <xf numFmtId="2" fontId="9" fillId="0" borderId="0" xfId="2" applyNumberFormat="1" applyFont="1" applyFill="1" applyBorder="1" applyAlignment="1" applyProtection="1">
      <alignment horizontal="center" vertical="center"/>
      <protection locked="0"/>
    </xf>
    <xf numFmtId="0" fontId="9" fillId="0" borderId="0" xfId="2" applyFont="1" applyBorder="1" applyAlignment="1" applyProtection="1">
      <alignment horizontal="left" vertical="center"/>
      <protection locked="0"/>
    </xf>
    <xf numFmtId="164" fontId="9" fillId="0" borderId="0" xfId="2" applyNumberFormat="1" applyFont="1" applyBorder="1" applyAlignment="1" applyProtection="1">
      <alignment horizontal="center"/>
      <protection locked="0"/>
    </xf>
    <xf numFmtId="2" fontId="9" fillId="0" borderId="0" xfId="2" applyNumberFormat="1" applyFont="1" applyFill="1" applyBorder="1" applyAlignment="1" applyProtection="1">
      <alignment horizontal="center"/>
      <protection locked="0"/>
    </xf>
    <xf numFmtId="164" fontId="9" fillId="0" borderId="0" xfId="2" applyNumberFormat="1" applyFont="1" applyBorder="1" applyAlignment="1" applyProtection="1">
      <alignment horizontal="left"/>
      <protection locked="0"/>
    </xf>
    <xf numFmtId="164" fontId="12" fillId="0" borderId="0" xfId="2" applyNumberFormat="1" applyFont="1" applyBorder="1" applyAlignment="1" applyProtection="1">
      <alignment horizontal="center"/>
      <protection locked="0"/>
    </xf>
    <xf numFmtId="164" fontId="9" fillId="0" borderId="0" xfId="2" quotePrefix="1" applyNumberFormat="1" applyFont="1" applyBorder="1" applyAlignment="1" applyProtection="1">
      <alignment horizontal="center"/>
      <protection locked="0"/>
    </xf>
    <xf numFmtId="164" fontId="6" fillId="0" borderId="0" xfId="2" applyNumberFormat="1" applyFont="1" applyBorder="1" applyAlignment="1" applyProtection="1">
      <alignment horizontal="left"/>
      <protection locked="0"/>
    </xf>
    <xf numFmtId="0" fontId="14" fillId="0" borderId="0" xfId="1" applyFont="1" applyFill="1" applyBorder="1" applyAlignment="1" applyProtection="1">
      <alignment horizontal="center"/>
    </xf>
    <xf numFmtId="164" fontId="9" fillId="0" borderId="2" xfId="2" applyNumberFormat="1" applyFont="1" applyBorder="1" applyAlignment="1" applyProtection="1">
      <alignment horizontal="center"/>
      <protection locked="0"/>
    </xf>
    <xf numFmtId="164" fontId="9" fillId="0" borderId="2" xfId="2" quotePrefix="1" applyNumberFormat="1" applyFont="1" applyBorder="1" applyAlignment="1" applyProtection="1">
      <alignment horizontal="center"/>
      <protection locked="0"/>
    </xf>
    <xf numFmtId="2" fontId="6" fillId="0" borderId="2" xfId="2" applyNumberFormat="1" applyFont="1" applyBorder="1" applyAlignment="1" applyProtection="1">
      <alignment horizontal="center"/>
      <protection locked="0"/>
    </xf>
    <xf numFmtId="164" fontId="9" fillId="0" borderId="0" xfId="2" applyNumberFormat="1" applyFont="1" applyBorder="1" applyAlignment="1" applyProtection="1">
      <alignment horizontal="left" vertical="center"/>
      <protection locked="0"/>
    </xf>
    <xf numFmtId="164" fontId="9" fillId="0" borderId="0" xfId="2" applyNumberFormat="1" applyFont="1" applyBorder="1" applyAlignment="1" applyProtection="1">
      <alignment horizontal="center" vertical="center"/>
      <protection locked="0"/>
    </xf>
    <xf numFmtId="0" fontId="14" fillId="0" borderId="0" xfId="1" applyFont="1" applyFill="1" applyBorder="1" applyAlignment="1" applyProtection="1">
      <alignment horizontal="center" vertical="center"/>
    </xf>
    <xf numFmtId="0" fontId="9" fillId="0" borderId="0" xfId="2" applyFont="1" applyBorder="1" applyAlignment="1" applyProtection="1">
      <alignment vertical="center"/>
      <protection locked="0"/>
    </xf>
    <xf numFmtId="164" fontId="6" fillId="0" borderId="0" xfId="2" applyNumberFormat="1" applyFont="1" applyBorder="1" applyAlignment="1" applyProtection="1">
      <alignment horizontal="left" vertical="center"/>
      <protection locked="0"/>
    </xf>
    <xf numFmtId="0" fontId="9" fillId="0" borderId="2" xfId="2" applyFont="1" applyBorder="1" applyAlignment="1" applyProtection="1">
      <alignment horizontal="left" vertical="center"/>
      <protection locked="0"/>
    </xf>
    <xf numFmtId="164" fontId="9" fillId="0" borderId="2" xfId="2" applyNumberFormat="1" applyFont="1" applyBorder="1" applyAlignment="1" applyProtection="1">
      <alignment horizontal="center" vertical="center"/>
      <protection locked="0"/>
    </xf>
    <xf numFmtId="0" fontId="9" fillId="0" borderId="2" xfId="2" applyFont="1" applyBorder="1" applyAlignment="1" applyProtection="1">
      <alignment horizontal="center" vertical="center"/>
      <protection locked="0"/>
    </xf>
    <xf numFmtId="0" fontId="16" fillId="0" borderId="0" xfId="2" quotePrefix="1" applyFont="1" applyBorder="1" applyAlignment="1" applyProtection="1">
      <alignment horizontal="left"/>
      <protection locked="0"/>
    </xf>
    <xf numFmtId="0" fontId="16" fillId="0" borderId="0" xfId="2" applyFont="1" applyBorder="1" applyAlignment="1" applyProtection="1">
      <alignment horizontal="left"/>
      <protection locked="0"/>
    </xf>
    <xf numFmtId="0" fontId="20" fillId="0" borderId="0" xfId="2" applyFont="1" applyBorder="1" applyAlignment="1" applyProtection="1">
      <alignment horizontal="center"/>
      <protection locked="0"/>
    </xf>
    <xf numFmtId="0" fontId="21" fillId="0" borderId="0" xfId="2" applyFont="1" applyBorder="1" applyAlignment="1" applyProtection="1">
      <alignment horizontal="left"/>
      <protection locked="0"/>
    </xf>
    <xf numFmtId="166" fontId="20" fillId="0" borderId="0" xfId="3" applyFont="1" applyBorder="1" applyAlignment="1" applyProtection="1">
      <alignment horizontal="left"/>
    </xf>
    <xf numFmtId="0" fontId="20" fillId="0" borderId="0" xfId="1" applyFont="1" applyBorder="1" applyAlignment="1"/>
    <xf numFmtId="0" fontId="16" fillId="0" borderId="0" xfId="5" quotePrefix="1" applyFont="1" applyBorder="1"/>
    <xf numFmtId="0" fontId="16" fillId="0" borderId="0" xfId="2" quotePrefix="1" applyFont="1" applyFill="1" applyBorder="1" applyAlignment="1" applyProtection="1">
      <alignment horizontal="left"/>
      <protection locked="0"/>
    </xf>
    <xf numFmtId="0" fontId="19" fillId="0" borderId="0" xfId="2" applyFont="1" applyFill="1" applyBorder="1" applyAlignment="1" applyProtection="1">
      <alignment horizontal="left"/>
      <protection locked="0"/>
    </xf>
    <xf numFmtId="0" fontId="11" fillId="0" borderId="0" xfId="2" applyFont="1" applyBorder="1" applyAlignment="1" applyProtection="1">
      <alignment horizontal="left"/>
      <protection locked="0"/>
    </xf>
    <xf numFmtId="2" fontId="6" fillId="0" borderId="1" xfId="1" applyNumberFormat="1" applyFont="1" applyBorder="1" applyAlignment="1" applyProtection="1">
      <alignment horizontal="center" vertical="center" wrapText="1"/>
      <protection locked="0"/>
    </xf>
    <xf numFmtId="2" fontId="6" fillId="0" borderId="0" xfId="1" applyNumberFormat="1" applyFont="1" applyBorder="1" applyAlignment="1" applyProtection="1">
      <alignment horizontal="centerContinuous" vertical="center" wrapText="1"/>
      <protection locked="0"/>
    </xf>
    <xf numFmtId="2" fontId="9" fillId="0" borderId="0" xfId="4" applyNumberFormat="1" applyFont="1" applyFill="1" applyBorder="1" applyAlignment="1">
      <alignment horizontal="center"/>
    </xf>
    <xf numFmtId="2" fontId="9" fillId="0" borderId="2" xfId="2" applyNumberFormat="1" applyFont="1" applyFill="1" applyBorder="1" applyAlignment="1" applyProtection="1">
      <alignment horizontal="center"/>
      <protection locked="0"/>
    </xf>
    <xf numFmtId="2" fontId="9" fillId="0" borderId="2" xfId="2" applyNumberFormat="1" applyFont="1" applyFill="1" applyBorder="1" applyAlignment="1" applyProtection="1">
      <alignment horizontal="center" vertical="center"/>
      <protection locked="0"/>
    </xf>
    <xf numFmtId="2" fontId="9" fillId="0" borderId="0" xfId="2" applyNumberFormat="1" applyFont="1" applyBorder="1" applyAlignment="1" applyProtection="1">
      <alignment horizontal="center" vertical="center"/>
      <protection locked="0"/>
    </xf>
    <xf numFmtId="2" fontId="20" fillId="0" borderId="0" xfId="2" applyNumberFormat="1" applyFont="1" applyBorder="1" applyAlignment="1" applyProtection="1">
      <alignment horizontal="center"/>
      <protection locked="0"/>
    </xf>
    <xf numFmtId="2" fontId="20" fillId="0" borderId="0" xfId="1" applyNumberFormat="1" applyFont="1" applyBorder="1" applyAlignment="1">
      <alignment horizontal="center"/>
    </xf>
    <xf numFmtId="2" fontId="7" fillId="0" borderId="0" xfId="0" applyNumberFormat="1" applyFont="1" applyAlignment="1">
      <alignment horizontal="left" indent="2"/>
    </xf>
    <xf numFmtId="2" fontId="11" fillId="0" borderId="0" xfId="2" applyNumberFormat="1" applyFont="1" applyBorder="1" applyAlignment="1" applyProtection="1">
      <alignment horizontal="left"/>
      <protection locked="0"/>
    </xf>
    <xf numFmtId="2" fontId="0" fillId="0" borderId="0" xfId="0" applyNumberFormat="1"/>
    <xf numFmtId="2" fontId="6" fillId="0" borderId="0" xfId="1" applyNumberFormat="1" applyFont="1" applyBorder="1" applyAlignment="1" applyProtection="1">
      <alignment horizontal="center" vertical="center" wrapText="1"/>
      <protection locked="0"/>
    </xf>
    <xf numFmtId="0" fontId="50" fillId="0" borderId="0" xfId="0" applyFont="1" applyAlignment="1">
      <alignment horizontal="center"/>
    </xf>
    <xf numFmtId="164" fontId="6" fillId="0" borderId="0" xfId="2" applyNumberFormat="1" applyFont="1" applyBorder="1" applyAlignment="1" applyProtection="1">
      <alignment horizontal="center"/>
      <protection locked="0"/>
    </xf>
    <xf numFmtId="2" fontId="6" fillId="0" borderId="0" xfId="2" applyNumberFormat="1" applyFont="1" applyFill="1" applyBorder="1" applyAlignment="1" applyProtection="1">
      <alignment horizontal="center"/>
      <protection locked="0"/>
    </xf>
    <xf numFmtId="2" fontId="6" fillId="0" borderId="0" xfId="2" applyNumberFormat="1" applyFont="1" applyBorder="1" applyAlignment="1" applyProtection="1">
      <alignment horizontal="center"/>
      <protection locked="0"/>
    </xf>
    <xf numFmtId="164" fontId="6" fillId="0" borderId="0" xfId="2" applyNumberFormat="1" applyFont="1" applyBorder="1" applyAlignment="1" applyProtection="1">
      <alignment horizontal="center" vertical="center"/>
      <protection locked="0"/>
    </xf>
    <xf numFmtId="0" fontId="6" fillId="0" borderId="0" xfId="2" applyFont="1" applyBorder="1" applyAlignment="1" applyProtection="1">
      <alignment horizontal="center" vertical="center"/>
      <protection locked="0"/>
    </xf>
    <xf numFmtId="2" fontId="6" fillId="0" borderId="0" xfId="4" applyNumberFormat="1" applyFont="1" applyBorder="1" applyAlignment="1">
      <alignment horizontal="center"/>
    </xf>
    <xf numFmtId="11" fontId="6" fillId="0" borderId="0" xfId="2" applyNumberFormat="1" applyFont="1" applyFill="1" applyBorder="1" applyAlignment="1" applyProtection="1">
      <alignment horizontal="center"/>
      <protection locked="0"/>
    </xf>
    <xf numFmtId="0" fontId="6" fillId="0" borderId="0" xfId="2" applyFont="1" applyBorder="1" applyAlignment="1" applyProtection="1">
      <alignment horizontal="left" vertical="center"/>
      <protection locked="0"/>
    </xf>
    <xf numFmtId="11" fontId="6" fillId="0" borderId="0" xfId="2" applyNumberFormat="1" applyFont="1" applyBorder="1" applyAlignment="1" applyProtection="1">
      <alignment horizontal="center" vertical="center"/>
      <protection locked="0"/>
    </xf>
    <xf numFmtId="11" fontId="6" fillId="0" borderId="0" xfId="4" applyNumberFormat="1" applyFont="1" applyBorder="1" applyAlignment="1">
      <alignment horizontal="center"/>
    </xf>
    <xf numFmtId="0" fontId="6" fillId="0" borderId="3" xfId="2" applyFont="1" applyBorder="1" applyAlignment="1" applyProtection="1">
      <alignment horizontal="left"/>
      <protection locked="0"/>
    </xf>
    <xf numFmtId="2" fontId="6" fillId="0" borderId="3" xfId="2" applyNumberFormat="1" applyFont="1" applyBorder="1" applyAlignment="1" applyProtection="1">
      <alignment horizontal="center"/>
      <protection locked="0"/>
    </xf>
    <xf numFmtId="11" fontId="6" fillId="0" borderId="3" xfId="2" applyNumberFormat="1" applyFont="1" applyFill="1" applyBorder="1" applyAlignment="1" applyProtection="1">
      <alignment horizontal="center"/>
      <protection locked="0"/>
    </xf>
    <xf numFmtId="0" fontId="6" fillId="0" borderId="3" xfId="2" applyFont="1" applyBorder="1" applyAlignment="1" applyProtection="1">
      <alignment horizontal="left" vertical="center"/>
      <protection locked="0"/>
    </xf>
    <xf numFmtId="2" fontId="6" fillId="0" borderId="3" xfId="2" applyNumberFormat="1" applyFont="1" applyBorder="1" applyAlignment="1" applyProtection="1">
      <alignment horizontal="center" vertical="center"/>
      <protection locked="0"/>
    </xf>
    <xf numFmtId="11" fontId="6" fillId="0" borderId="3" xfId="2" applyNumberFormat="1" applyFont="1" applyBorder="1" applyAlignment="1" applyProtection="1">
      <alignment horizontal="center" vertical="center"/>
      <protection locked="0"/>
    </xf>
    <xf numFmtId="0" fontId="6" fillId="2" borderId="1" xfId="2" applyFont="1" applyFill="1" applyBorder="1" applyAlignment="1" applyProtection="1">
      <alignment horizontal="centerContinuous" vertical="center"/>
      <protection locked="0"/>
    </xf>
    <xf numFmtId="2" fontId="6" fillId="2" borderId="1" xfId="2" applyNumberFormat="1" applyFont="1" applyFill="1" applyBorder="1" applyAlignment="1" applyProtection="1">
      <alignment horizontal="centerContinuous" vertical="center"/>
      <protection locked="0"/>
    </xf>
    <xf numFmtId="2" fontId="6" fillId="2" borderId="1" xfId="1" applyNumberFormat="1" applyFont="1" applyFill="1" applyBorder="1" applyAlignment="1" applyProtection="1">
      <alignment horizontal="centerContinuous" vertical="center" wrapText="1"/>
      <protection locked="0"/>
    </xf>
    <xf numFmtId="0" fontId="6" fillId="2" borderId="1" xfId="2" applyFont="1" applyFill="1" applyBorder="1" applyAlignment="1" applyProtection="1">
      <alignment horizontal="centerContinuous"/>
      <protection locked="0"/>
    </xf>
    <xf numFmtId="2" fontId="6" fillId="2" borderId="1" xfId="2" applyNumberFormat="1" applyFont="1" applyFill="1" applyBorder="1" applyAlignment="1" applyProtection="1">
      <alignment horizontal="centerContinuous"/>
      <protection locked="0"/>
    </xf>
    <xf numFmtId="2" fontId="6" fillId="0" borderId="2" xfId="1" applyNumberFormat="1" applyFont="1" applyBorder="1" applyAlignment="1" applyProtection="1">
      <alignment horizontal="center" vertical="center" wrapText="1"/>
      <protection locked="0"/>
    </xf>
    <xf numFmtId="0" fontId="0" fillId="0" borderId="2" xfId="0" applyBorder="1"/>
    <xf numFmtId="0" fontId="0" fillId="2" borderId="1" xfId="0" applyFill="1" applyBorder="1"/>
    <xf numFmtId="0" fontId="9" fillId="0" borderId="2" xfId="2" applyFont="1" applyBorder="1" applyAlignment="1" applyProtection="1">
      <alignment horizontal="left"/>
      <protection locked="0"/>
    </xf>
    <xf numFmtId="2" fontId="9" fillId="0" borderId="2" xfId="2" applyNumberFormat="1" applyFont="1" applyBorder="1" applyAlignment="1" applyProtection="1">
      <alignment horizontal="center"/>
      <protection locked="0"/>
    </xf>
    <xf numFmtId="2" fontId="9" fillId="0" borderId="2" xfId="4" applyNumberFormat="1" applyFont="1" applyFill="1" applyBorder="1" applyAlignment="1">
      <alignment horizontal="center"/>
    </xf>
    <xf numFmtId="164" fontId="9" fillId="0" borderId="2" xfId="2" applyNumberFormat="1" applyFont="1" applyBorder="1" applyAlignment="1" applyProtection="1">
      <alignment horizontal="left"/>
      <protection locked="0"/>
    </xf>
    <xf numFmtId="0" fontId="6" fillId="3" borderId="4" xfId="2" applyFont="1" applyFill="1" applyBorder="1" applyAlignment="1" applyProtection="1">
      <alignment horizontal="left" vertical="center"/>
      <protection locked="0"/>
    </xf>
    <xf numFmtId="0" fontId="6" fillId="3" borderId="5" xfId="2" applyFont="1" applyFill="1" applyBorder="1" applyAlignment="1" applyProtection="1">
      <alignment horizontal="center" vertical="center"/>
      <protection locked="0"/>
    </xf>
    <xf numFmtId="11" fontId="6" fillId="3" borderId="6" xfId="2" applyNumberFormat="1" applyFont="1" applyFill="1" applyBorder="1" applyAlignment="1" applyProtection="1">
      <alignment horizontal="center" vertical="center"/>
      <protection locked="0"/>
    </xf>
    <xf numFmtId="0" fontId="6" fillId="3" borderId="7" xfId="2" applyFont="1" applyFill="1" applyBorder="1" applyAlignment="1" applyProtection="1">
      <alignment horizontal="left" vertical="center"/>
      <protection locked="0"/>
    </xf>
    <xf numFmtId="0" fontId="6" fillId="3" borderId="2" xfId="2" applyFont="1" applyFill="1" applyBorder="1" applyAlignment="1" applyProtection="1">
      <alignment horizontal="center" vertical="center"/>
      <protection locked="0"/>
    </xf>
    <xf numFmtId="11" fontId="6" fillId="3" borderId="8" xfId="2" applyNumberFormat="1" applyFont="1" applyFill="1" applyBorder="1" applyAlignment="1" applyProtection="1">
      <alignment horizontal="center" vertical="center"/>
      <protection locked="0"/>
    </xf>
    <xf numFmtId="0" fontId="6" fillId="0" borderId="2" xfId="2" applyFont="1" applyBorder="1" applyAlignment="1" applyProtection="1">
      <alignment horizontal="center"/>
      <protection locked="0"/>
    </xf>
    <xf numFmtId="0" fontId="49" fillId="0" borderId="9" xfId="0" applyFont="1" applyBorder="1"/>
    <xf numFmtId="0" fontId="49" fillId="0" borderId="0" xfId="0" applyFont="1" applyBorder="1"/>
    <xf numFmtId="0" fontId="0" fillId="0" borderId="9" xfId="0" applyBorder="1"/>
    <xf numFmtId="0" fontId="0" fillId="0" borderId="0" xfId="0" applyBorder="1"/>
    <xf numFmtId="165" fontId="0" fillId="0" borderId="0" xfId="0" applyNumberFormat="1" applyBorder="1"/>
    <xf numFmtId="11" fontId="0" fillId="0" borderId="0" xfId="0" applyNumberFormat="1" applyFill="1" applyBorder="1"/>
    <xf numFmtId="0" fontId="0" fillId="0" borderId="0" xfId="0" applyFill="1"/>
    <xf numFmtId="0" fontId="49" fillId="0" borderId="0" xfId="0" applyFont="1" applyAlignment="1">
      <alignment horizontal="center"/>
    </xf>
    <xf numFmtId="0" fontId="49" fillId="0" borderId="10" xfId="0" applyFont="1" applyBorder="1" applyAlignment="1">
      <alignment horizontal="center"/>
    </xf>
    <xf numFmtId="0" fontId="0" fillId="0" borderId="11" xfId="0" applyBorder="1"/>
    <xf numFmtId="0" fontId="51" fillId="0" borderId="0" xfId="0" applyFont="1" applyBorder="1"/>
    <xf numFmtId="0" fontId="49" fillId="0" borderId="12" xfId="0" applyFont="1" applyBorder="1"/>
    <xf numFmtId="0" fontId="0" fillId="0" borderId="12" xfId="0" applyBorder="1"/>
    <xf numFmtId="0" fontId="52" fillId="0" borderId="13" xfId="0" applyFont="1" applyBorder="1" applyAlignment="1">
      <alignment wrapText="1"/>
    </xf>
    <xf numFmtId="0" fontId="0" fillId="0" borderId="13" xfId="0" applyBorder="1" applyAlignment="1">
      <alignment wrapText="1"/>
    </xf>
    <xf numFmtId="0" fontId="0" fillId="0" borderId="0" xfId="0" applyAlignment="1">
      <alignment horizontal="center"/>
    </xf>
    <xf numFmtId="165" fontId="0" fillId="0" borderId="0" xfId="0" applyNumberFormat="1" applyBorder="1" applyAlignment="1">
      <alignment horizontal="right"/>
    </xf>
    <xf numFmtId="0" fontId="53" fillId="0" borderId="0" xfId="0" applyFont="1" applyAlignment="1">
      <alignment horizontal="left" wrapText="1"/>
    </xf>
    <xf numFmtId="0" fontId="0" fillId="0" borderId="0" xfId="0" quotePrefix="1" applyFill="1" applyBorder="1" applyAlignment="1">
      <alignment horizontal="center"/>
    </xf>
    <xf numFmtId="0" fontId="49" fillId="0" borderId="13" xfId="0" applyFont="1" applyBorder="1" applyAlignment="1">
      <alignment horizontal="center" wrapText="1"/>
    </xf>
    <xf numFmtId="0" fontId="51" fillId="0" borderId="14" xfId="0" applyFont="1" applyFill="1" applyBorder="1" applyAlignment="1">
      <alignment horizontal="center"/>
    </xf>
    <xf numFmtId="0" fontId="51" fillId="0" borderId="15" xfId="0" applyFont="1" applyFill="1" applyBorder="1" applyAlignment="1">
      <alignment horizontal="center"/>
    </xf>
    <xf numFmtId="0" fontId="0" fillId="0" borderId="0" xfId="0" applyBorder="1" applyAlignment="1">
      <alignment horizontal="center"/>
    </xf>
    <xf numFmtId="0" fontId="54" fillId="0" borderId="0" xfId="0" applyFont="1" applyBorder="1"/>
    <xf numFmtId="0" fontId="53" fillId="0" borderId="0" xfId="0" applyFont="1" applyBorder="1" applyAlignment="1">
      <alignment horizontal="left" wrapText="1"/>
    </xf>
    <xf numFmtId="165" fontId="0" fillId="0" borderId="16" xfId="0" applyNumberFormat="1" applyBorder="1"/>
    <xf numFmtId="165" fontId="0" fillId="0" borderId="17" xfId="0" applyNumberFormat="1" applyBorder="1" applyAlignment="1">
      <alignment horizontal="right"/>
    </xf>
    <xf numFmtId="0" fontId="49" fillId="0" borderId="18" xfId="0" applyFont="1" applyBorder="1" applyAlignment="1">
      <alignment horizontal="center" wrapText="1"/>
    </xf>
    <xf numFmtId="0" fontId="49" fillId="0" borderId="19" xfId="0" applyFont="1" applyBorder="1" applyAlignment="1">
      <alignment horizontal="center"/>
    </xf>
    <xf numFmtId="0" fontId="49" fillId="0" borderId="20" xfId="0" applyFont="1" applyBorder="1"/>
    <xf numFmtId="0" fontId="30" fillId="0" borderId="5" xfId="0" applyFont="1" applyBorder="1"/>
    <xf numFmtId="0" fontId="31" fillId="0" borderId="5" xfId="0" applyFont="1" applyBorder="1"/>
    <xf numFmtId="0" fontId="30" fillId="0" borderId="0" xfId="0" applyFont="1"/>
    <xf numFmtId="0" fontId="30" fillId="0" borderId="0" xfId="0" applyFont="1" applyBorder="1"/>
    <xf numFmtId="0" fontId="31" fillId="0" borderId="0" xfId="0" applyFont="1" applyBorder="1" applyAlignment="1">
      <alignment horizontal="center"/>
    </xf>
    <xf numFmtId="0" fontId="31" fillId="0" borderId="2" xfId="0" applyFont="1" applyBorder="1" applyAlignment="1">
      <alignment horizontal="center"/>
    </xf>
    <xf numFmtId="0" fontId="30" fillId="0" borderId="0" xfId="0" applyFont="1" applyBorder="1" applyAlignment="1">
      <alignment horizontal="center"/>
    </xf>
    <xf numFmtId="0" fontId="15" fillId="3" borderId="2" xfId="2" applyFont="1" applyFill="1" applyBorder="1" applyAlignment="1" applyProtection="1">
      <alignment horizontal="center" vertical="center"/>
      <protection locked="0"/>
    </xf>
    <xf numFmtId="0" fontId="55" fillId="0" borderId="0" xfId="0" applyFont="1"/>
    <xf numFmtId="0" fontId="16" fillId="2" borderId="0" xfId="2" quotePrefix="1" applyFont="1" applyFill="1" applyBorder="1" applyAlignment="1" applyProtection="1">
      <alignment horizontal="left"/>
      <protection locked="0"/>
    </xf>
    <xf numFmtId="0" fontId="16" fillId="2" borderId="0" xfId="2" quotePrefix="1" applyFont="1" applyFill="1" applyBorder="1" applyAlignment="1" applyProtection="1">
      <protection locked="0"/>
    </xf>
    <xf numFmtId="0" fontId="16" fillId="2" borderId="0" xfId="5" quotePrefix="1" applyFont="1" applyFill="1" applyBorder="1"/>
    <xf numFmtId="0" fontId="0" fillId="0" borderId="0" xfId="0" applyFont="1" applyFill="1" applyBorder="1"/>
    <xf numFmtId="11" fontId="0" fillId="0" borderId="0" xfId="0" applyNumberFormat="1"/>
    <xf numFmtId="0" fontId="0" fillId="0" borderId="0" xfId="0" applyFill="1" applyBorder="1" applyAlignment="1">
      <alignment wrapText="1"/>
    </xf>
    <xf numFmtId="2" fontId="38" fillId="0" borderId="0" xfId="2" applyNumberFormat="1" applyFont="1" applyFill="1" applyBorder="1" applyAlignment="1" applyProtection="1">
      <alignment horizontal="center"/>
      <protection locked="0"/>
    </xf>
    <xf numFmtId="0" fontId="0" fillId="0" borderId="21" xfId="0" applyBorder="1"/>
    <xf numFmtId="0" fontId="0" fillId="0" borderId="22" xfId="0" applyBorder="1"/>
    <xf numFmtId="0" fontId="56" fillId="0" borderId="23" xfId="0" applyFont="1" applyBorder="1" applyAlignment="1">
      <alignment horizontal="center"/>
    </xf>
    <xf numFmtId="0" fontId="56" fillId="0" borderId="24" xfId="0" applyFont="1" applyBorder="1" applyAlignment="1">
      <alignment horizontal="center"/>
    </xf>
    <xf numFmtId="0" fontId="57" fillId="0" borderId="2" xfId="0" applyFont="1" applyBorder="1"/>
    <xf numFmtId="0" fontId="57" fillId="0" borderId="2" xfId="0" applyFont="1" applyBorder="1" applyAlignment="1">
      <alignment horizontal="center"/>
    </xf>
    <xf numFmtId="0" fontId="0" fillId="0" borderId="21" xfId="0" applyFont="1" applyBorder="1"/>
    <xf numFmtId="0" fontId="0" fillId="0" borderId="24" xfId="0" applyBorder="1"/>
    <xf numFmtId="0" fontId="49" fillId="0" borderId="25" xfId="0" applyFont="1"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0" fillId="0" borderId="30" xfId="0" applyBorder="1"/>
    <xf numFmtId="11" fontId="0" fillId="0" borderId="0" xfId="0" applyNumberFormat="1" applyFont="1" applyBorder="1" applyAlignment="1">
      <alignment horizontal="center"/>
    </xf>
    <xf numFmtId="11" fontId="0" fillId="0" borderId="31" xfId="0" applyNumberFormat="1" applyFont="1" applyBorder="1" applyAlignment="1">
      <alignment horizontal="center"/>
    </xf>
    <xf numFmtId="11" fontId="0" fillId="0" borderId="0" xfId="0" applyNumberFormat="1" applyFill="1" applyBorder="1" applyAlignment="1">
      <alignment horizontal="center"/>
    </xf>
    <xf numFmtId="11" fontId="0" fillId="0" borderId="25" xfId="0" applyNumberFormat="1" applyFill="1" applyBorder="1" applyAlignment="1">
      <alignment horizontal="center"/>
    </xf>
    <xf numFmtId="11" fontId="0" fillId="0" borderId="27" xfId="0" applyNumberFormat="1" applyFill="1" applyBorder="1" applyAlignment="1">
      <alignment horizontal="center"/>
    </xf>
    <xf numFmtId="11" fontId="0" fillId="0" borderId="30" xfId="0" applyNumberFormat="1" applyFill="1" applyBorder="1" applyAlignment="1">
      <alignment horizontal="center"/>
    </xf>
    <xf numFmtId="0" fontId="58" fillId="0" borderId="0" xfId="0" applyFont="1"/>
    <xf numFmtId="2" fontId="6" fillId="0" borderId="0" xfId="1" applyNumberFormat="1" applyFont="1" applyFill="1" applyBorder="1" applyAlignment="1" applyProtection="1">
      <alignment horizontal="centerContinuous" vertical="center" wrapText="1"/>
      <protection locked="0"/>
    </xf>
    <xf numFmtId="11" fontId="6" fillId="0" borderId="0" xfId="2" applyNumberFormat="1" applyFont="1" applyFill="1" applyBorder="1" applyAlignment="1" applyProtection="1">
      <alignment horizontal="center" vertical="center"/>
      <protection locked="0"/>
    </xf>
    <xf numFmtId="0" fontId="56" fillId="0" borderId="0" xfId="0" applyFont="1" applyFill="1" applyBorder="1" applyAlignment="1"/>
    <xf numFmtId="0" fontId="49" fillId="0" borderId="32" xfId="0" applyFont="1" applyFill="1" applyBorder="1"/>
    <xf numFmtId="0" fontId="49" fillId="0" borderId="33" xfId="0" applyFont="1" applyFill="1" applyBorder="1"/>
    <xf numFmtId="0" fontId="59" fillId="2" borderId="0" xfId="0" applyFont="1" applyFill="1" applyBorder="1" applyAlignment="1"/>
    <xf numFmtId="0" fontId="59" fillId="2" borderId="0" xfId="0" applyFont="1" applyFill="1"/>
    <xf numFmtId="0" fontId="49" fillId="2" borderId="0" xfId="0" applyFont="1" applyFill="1" applyAlignment="1">
      <alignment horizontal="center"/>
    </xf>
    <xf numFmtId="0" fontId="0" fillId="2" borderId="0" xfId="0" applyFill="1"/>
    <xf numFmtId="0" fontId="59" fillId="2" borderId="34" xfId="0" applyFont="1" applyFill="1" applyBorder="1" applyAlignment="1">
      <alignment horizontal="left"/>
    </xf>
    <xf numFmtId="0" fontId="51" fillId="2" borderId="34" xfId="0" applyFont="1" applyFill="1" applyBorder="1" applyAlignment="1">
      <alignment horizontal="left"/>
    </xf>
    <xf numFmtId="11" fontId="0" fillId="0" borderId="34" xfId="0" applyNumberFormat="1" applyFill="1" applyBorder="1"/>
    <xf numFmtId="11" fontId="0" fillId="0" borderId="35" xfId="0" applyNumberFormat="1" applyFill="1" applyBorder="1"/>
    <xf numFmtId="0" fontId="0" fillId="0" borderId="0" xfId="0" applyFill="1" applyBorder="1" applyAlignment="1">
      <alignment horizontal="center"/>
    </xf>
    <xf numFmtId="0" fontId="0" fillId="0" borderId="0" xfId="0" applyFont="1" applyBorder="1" applyAlignment="1">
      <alignment horizontal="center"/>
    </xf>
    <xf numFmtId="0" fontId="0" fillId="0" borderId="5" xfId="0" applyFont="1" applyBorder="1" applyAlignment="1">
      <alignment horizontal="center"/>
    </xf>
    <xf numFmtId="0" fontId="0" fillId="0" borderId="10" xfId="0" applyFont="1" applyBorder="1" applyAlignment="1">
      <alignment horizontal="center"/>
    </xf>
    <xf numFmtId="0" fontId="51" fillId="4" borderId="36" xfId="0" applyFont="1" applyFill="1" applyBorder="1" applyAlignment="1">
      <alignment horizontal="center"/>
    </xf>
    <xf numFmtId="0" fontId="51" fillId="5" borderId="37" xfId="0" applyFont="1" applyFill="1" applyBorder="1" applyAlignment="1">
      <alignment horizontal="center"/>
    </xf>
    <xf numFmtId="0" fontId="51" fillId="4" borderId="20" xfId="0" applyFont="1" applyFill="1" applyBorder="1" applyAlignment="1">
      <alignment horizontal="center"/>
    </xf>
    <xf numFmtId="0" fontId="51" fillId="5" borderId="20" xfId="0" applyFont="1" applyFill="1" applyBorder="1" applyAlignment="1">
      <alignment horizontal="center"/>
    </xf>
    <xf numFmtId="0" fontId="31" fillId="0" borderId="0" xfId="0" applyFont="1" applyFill="1" applyBorder="1" applyAlignment="1">
      <alignment horizontal="center"/>
    </xf>
    <xf numFmtId="0" fontId="0" fillId="0" borderId="18" xfId="0" applyBorder="1" applyAlignment="1">
      <alignment wrapText="1"/>
    </xf>
    <xf numFmtId="0" fontId="52" fillId="0" borderId="0" xfId="2" applyFont="1" applyFill="1" applyBorder="1" applyAlignment="1" applyProtection="1">
      <alignment horizontal="center" vertical="center"/>
      <protection locked="0"/>
    </xf>
    <xf numFmtId="0" fontId="57" fillId="0" borderId="0" xfId="0" applyFont="1" applyFill="1" applyBorder="1" applyAlignment="1">
      <alignment horizontal="center"/>
    </xf>
    <xf numFmtId="0" fontId="51" fillId="0" borderId="7" xfId="0" applyFont="1" applyFill="1" applyBorder="1" applyAlignment="1">
      <alignment horizontal="center" wrapText="1"/>
    </xf>
    <xf numFmtId="0" fontId="58" fillId="0" borderId="0" xfId="0" applyFont="1" applyFill="1"/>
    <xf numFmtId="0" fontId="49" fillId="0" borderId="0" xfId="0" applyFont="1" applyFill="1" applyBorder="1" applyAlignment="1">
      <alignment horizontal="center"/>
    </xf>
    <xf numFmtId="0" fontId="49" fillId="0" borderId="39" xfId="0" applyFont="1" applyBorder="1" applyAlignment="1">
      <alignment horizontal="center"/>
    </xf>
    <xf numFmtId="11" fontId="0" fillId="0" borderId="0" xfId="0" applyNumberFormat="1" applyBorder="1" applyAlignment="1">
      <alignment horizontal="center"/>
    </xf>
    <xf numFmtId="0" fontId="0" fillId="0" borderId="0" xfId="0" applyBorder="1" applyAlignment="1">
      <alignment horizontal="center" wrapText="1"/>
    </xf>
    <xf numFmtId="0" fontId="0" fillId="0" borderId="13" xfId="0" applyBorder="1" applyAlignment="1">
      <alignment horizontal="center" wrapText="1"/>
    </xf>
    <xf numFmtId="0" fontId="0" fillId="0" borderId="0" xfId="0" applyFill="1" applyBorder="1" applyAlignment="1">
      <alignment horizontal="center" wrapText="1"/>
    </xf>
    <xf numFmtId="0" fontId="0" fillId="4" borderId="0" xfId="0" applyFill="1" applyBorder="1" applyAlignment="1">
      <alignment horizontal="center" wrapText="1"/>
    </xf>
    <xf numFmtId="0" fontId="0" fillId="6" borderId="0" xfId="0" applyFill="1" applyBorder="1" applyAlignment="1">
      <alignment horizontal="center" wrapText="1"/>
    </xf>
    <xf numFmtId="0" fontId="0" fillId="4" borderId="0" xfId="0" applyFill="1" applyBorder="1" applyAlignment="1">
      <alignment horizontal="center"/>
    </xf>
    <xf numFmtId="165" fontId="0" fillId="4" borderId="0" xfId="0" applyNumberFormat="1" applyFill="1" applyBorder="1" applyAlignment="1">
      <alignment horizontal="center"/>
    </xf>
    <xf numFmtId="165" fontId="0" fillId="6" borderId="0" xfId="0" applyNumberFormat="1" applyFill="1" applyBorder="1" applyAlignment="1">
      <alignment horizontal="center"/>
    </xf>
    <xf numFmtId="0" fontId="51" fillId="0" borderId="10" xfId="0" applyFont="1" applyBorder="1" applyAlignment="1">
      <alignment horizontal="center"/>
    </xf>
    <xf numFmtId="168" fontId="6" fillId="0" borderId="0" xfId="4" applyNumberFormat="1" applyFont="1" applyBorder="1" applyAlignment="1">
      <alignment horizontal="center"/>
    </xf>
    <xf numFmtId="168" fontId="6" fillId="0" borderId="0" xfId="2" applyNumberFormat="1" applyFont="1" applyFill="1" applyBorder="1" applyAlignment="1" applyProtection="1">
      <alignment horizontal="center"/>
      <protection locked="0"/>
    </xf>
    <xf numFmtId="168" fontId="9" fillId="0" borderId="0" xfId="2" applyNumberFormat="1" applyFont="1" applyFill="1" applyBorder="1" applyAlignment="1" applyProtection="1">
      <alignment horizontal="center"/>
      <protection locked="0"/>
    </xf>
    <xf numFmtId="11" fontId="6" fillId="0" borderId="0" xfId="2" applyNumberFormat="1" applyFont="1" applyFill="1" applyBorder="1" applyAlignment="1" applyProtection="1">
      <alignment horizontal="left"/>
      <protection locked="0"/>
    </xf>
    <xf numFmtId="0" fontId="49" fillId="0" borderId="0" xfId="0" applyFont="1" applyFill="1" applyBorder="1" applyAlignment="1">
      <alignment horizontal="center" wrapText="1"/>
    </xf>
    <xf numFmtId="11" fontId="9" fillId="0" borderId="0" xfId="2" applyNumberFormat="1" applyFont="1" applyBorder="1" applyAlignment="1" applyProtection="1">
      <alignment horizontal="left" vertical="center"/>
      <protection locked="0"/>
    </xf>
    <xf numFmtId="164" fontId="9" fillId="0" borderId="2" xfId="2" applyNumberFormat="1" applyFont="1" applyBorder="1" applyAlignment="1" applyProtection="1">
      <alignment horizontal="left" vertical="center"/>
      <protection locked="0"/>
    </xf>
    <xf numFmtId="0" fontId="0" fillId="0" borderId="4" xfId="0" applyFill="1" applyBorder="1" applyAlignment="1">
      <alignment horizontal="center" wrapText="1"/>
    </xf>
    <xf numFmtId="0" fontId="0" fillId="0" borderId="5" xfId="0" applyBorder="1" applyAlignment="1">
      <alignment horizontal="center"/>
    </xf>
    <xf numFmtId="0" fontId="0" fillId="0" borderId="7" xfId="0" applyFill="1" applyBorder="1" applyAlignment="1">
      <alignment horizontal="center" wrapText="1"/>
    </xf>
    <xf numFmtId="0" fontId="0" fillId="0" borderId="2" xfId="0" applyBorder="1" applyAlignment="1">
      <alignment horizontal="center"/>
    </xf>
    <xf numFmtId="1" fontId="0" fillId="0" borderId="2" xfId="0" applyNumberFormat="1" applyBorder="1" applyAlignment="1">
      <alignment horizontal="center"/>
    </xf>
    <xf numFmtId="1" fontId="0" fillId="0" borderId="5" xfId="0" applyNumberFormat="1" applyBorder="1" applyAlignment="1">
      <alignment horizontal="center"/>
    </xf>
    <xf numFmtId="0" fontId="0" fillId="2" borderId="0" xfId="0" applyFill="1" applyBorder="1" applyAlignment="1">
      <alignment horizontal="center"/>
    </xf>
    <xf numFmtId="11" fontId="0" fillId="7" borderId="0" xfId="0" applyNumberFormat="1" applyFill="1" applyBorder="1" applyAlignment="1">
      <alignment horizontal="center"/>
    </xf>
    <xf numFmtId="0" fontId="57" fillId="0" borderId="25" xfId="0" applyFont="1" applyFill="1" applyBorder="1" applyAlignment="1">
      <alignment horizontal="center"/>
    </xf>
    <xf numFmtId="0" fontId="0" fillId="0" borderId="40" xfId="0" applyBorder="1"/>
    <xf numFmtId="0" fontId="49" fillId="0" borderId="41" xfId="0" applyFont="1" applyBorder="1" applyAlignment="1">
      <alignment horizontal="center"/>
    </xf>
    <xf numFmtId="0" fontId="67" fillId="0" borderId="0" xfId="0" applyFont="1"/>
    <xf numFmtId="0" fontId="24" fillId="0" borderId="0" xfId="0" applyFont="1" applyBorder="1" applyAlignment="1">
      <alignment horizontal="left"/>
    </xf>
    <xf numFmtId="0" fontId="56" fillId="0" borderId="0" xfId="0" applyFont="1" applyBorder="1" applyAlignment="1">
      <alignment horizontal="left"/>
    </xf>
    <xf numFmtId="0" fontId="25" fillId="0" borderId="13" xfId="2" applyFont="1" applyFill="1" applyBorder="1" applyAlignment="1" applyProtection="1">
      <alignment horizontal="left" vertical="center" wrapText="1"/>
      <protection locked="0"/>
    </xf>
    <xf numFmtId="0" fontId="25" fillId="0" borderId="0" xfId="2" applyFont="1" applyFill="1" applyBorder="1" applyAlignment="1" applyProtection="1">
      <alignment horizontal="center" vertical="center"/>
      <protection locked="0"/>
    </xf>
    <xf numFmtId="0" fontId="25" fillId="0" borderId="34" xfId="2" applyFont="1" applyFill="1" applyBorder="1" applyAlignment="1" applyProtection="1">
      <alignment horizontal="center" vertical="center"/>
      <protection locked="0"/>
    </xf>
    <xf numFmtId="0" fontId="25" fillId="0" borderId="42" xfId="2" applyFont="1" applyFill="1" applyBorder="1" applyAlignment="1" applyProtection="1">
      <alignment horizontal="left" vertical="center" wrapText="1"/>
      <protection locked="0"/>
    </xf>
    <xf numFmtId="170" fontId="0" fillId="0" borderId="5" xfId="0" applyNumberFormat="1" applyFont="1" applyBorder="1" applyAlignment="1">
      <alignment horizontal="center"/>
    </xf>
    <xf numFmtId="170" fontId="0" fillId="0" borderId="10" xfId="0" applyNumberFormat="1" applyFont="1" applyBorder="1" applyAlignment="1">
      <alignment horizontal="center"/>
    </xf>
    <xf numFmtId="170" fontId="0" fillId="0" borderId="43" xfId="0" applyNumberFormat="1" applyFont="1" applyBorder="1" applyAlignment="1">
      <alignment horizontal="center"/>
    </xf>
    <xf numFmtId="170" fontId="0" fillId="0" borderId="44" xfId="0" applyNumberFormat="1" applyFont="1" applyBorder="1" applyAlignment="1">
      <alignment horizontal="center"/>
    </xf>
    <xf numFmtId="170" fontId="0" fillId="0" borderId="45" xfId="0" applyNumberFormat="1" applyFont="1" applyBorder="1" applyAlignment="1">
      <alignment horizontal="center"/>
    </xf>
    <xf numFmtId="170" fontId="0" fillId="0" borderId="46" xfId="0" applyNumberFormat="1" applyFont="1" applyBorder="1" applyAlignment="1">
      <alignment horizontal="center"/>
    </xf>
    <xf numFmtId="0" fontId="42" fillId="0" borderId="47" xfId="0" applyFont="1" applyBorder="1" applyAlignment="1">
      <alignment horizontal="center"/>
    </xf>
    <xf numFmtId="0" fontId="42" fillId="0" borderId="33" xfId="0" applyFont="1" applyBorder="1" applyAlignment="1">
      <alignment horizontal="center"/>
    </xf>
    <xf numFmtId="0" fontId="42" fillId="0" borderId="24" xfId="0" applyFont="1" applyBorder="1" applyAlignment="1">
      <alignment horizontal="center" wrapText="1"/>
    </xf>
    <xf numFmtId="0" fontId="42" fillId="0" borderId="26" xfId="0" applyFont="1" applyFill="1" applyBorder="1" applyAlignment="1">
      <alignment horizontal="center" wrapText="1"/>
    </xf>
    <xf numFmtId="0" fontId="0" fillId="0" borderId="27" xfId="0" applyFill="1" applyBorder="1" applyAlignment="1">
      <alignment horizontal="center"/>
    </xf>
    <xf numFmtId="11" fontId="0" fillId="0" borderId="48" xfId="0" applyNumberFormat="1" applyFill="1" applyBorder="1" applyAlignment="1">
      <alignment horizontal="center"/>
    </xf>
    <xf numFmtId="11" fontId="0" fillId="0" borderId="49" xfId="0" applyNumberFormat="1" applyFill="1" applyBorder="1" applyAlignment="1">
      <alignment horizontal="center"/>
    </xf>
    <xf numFmtId="0" fontId="64" fillId="2" borderId="0" xfId="0" applyFont="1" applyFill="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9" xfId="0" applyBorder="1" applyAlignment="1">
      <alignment horizontal="center"/>
    </xf>
    <xf numFmtId="0" fontId="0" fillId="0" borderId="12"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68" fillId="0" borderId="0" xfId="0" applyFont="1" applyBorder="1" applyAlignment="1">
      <alignment horizontal="left"/>
    </xf>
    <xf numFmtId="11" fontId="49" fillId="0" borderId="50" xfId="0" applyNumberFormat="1" applyFont="1" applyBorder="1" applyAlignment="1">
      <alignment horizontal="center"/>
    </xf>
    <xf numFmtId="11" fontId="49" fillId="0" borderId="51" xfId="0" applyNumberFormat="1" applyFont="1" applyBorder="1" applyAlignment="1">
      <alignment horizontal="center"/>
    </xf>
    <xf numFmtId="11" fontId="49" fillId="0" borderId="52" xfId="0" applyNumberFormat="1" applyFont="1" applyBorder="1" applyAlignment="1">
      <alignment horizontal="center"/>
    </xf>
    <xf numFmtId="11" fontId="0" fillId="0" borderId="4" xfId="0" applyNumberFormat="1" applyBorder="1" applyAlignment="1">
      <alignment horizontal="center"/>
    </xf>
    <xf numFmtId="11" fontId="0" fillId="0" borderId="5" xfId="0" applyNumberFormat="1" applyBorder="1" applyAlignment="1">
      <alignment horizontal="center"/>
    </xf>
    <xf numFmtId="11" fontId="0" fillId="0" borderId="6" xfId="0" applyNumberFormat="1" applyBorder="1" applyAlignment="1">
      <alignment horizontal="center"/>
    </xf>
    <xf numFmtId="11" fontId="0" fillId="0" borderId="7" xfId="0" applyNumberFormat="1" applyBorder="1" applyAlignment="1">
      <alignment horizontal="center"/>
    </xf>
    <xf numFmtId="11" fontId="0" fillId="0" borderId="2" xfId="0" applyNumberFormat="1" applyBorder="1" applyAlignment="1">
      <alignment horizontal="center"/>
    </xf>
    <xf numFmtId="11" fontId="0" fillId="0" borderId="8" xfId="0" applyNumberFormat="1" applyBorder="1" applyAlignment="1">
      <alignment horizontal="center"/>
    </xf>
    <xf numFmtId="0" fontId="0" fillId="7" borderId="0" xfId="0" applyFill="1" applyBorder="1"/>
    <xf numFmtId="0" fontId="0" fillId="7" borderId="53" xfId="0" applyFill="1" applyBorder="1"/>
    <xf numFmtId="0" fontId="0" fillId="7" borderId="54" xfId="0" applyFill="1" applyBorder="1"/>
    <xf numFmtId="0" fontId="0" fillId="8" borderId="55" xfId="0" applyFill="1" applyBorder="1" applyAlignment="1">
      <alignment horizontal="center"/>
    </xf>
    <xf numFmtId="11" fontId="0" fillId="8" borderId="14" xfId="0" applyNumberFormat="1" applyFill="1" applyBorder="1" applyAlignment="1">
      <alignment horizontal="center"/>
    </xf>
    <xf numFmtId="1" fontId="9" fillId="0" borderId="2" xfId="4" applyNumberFormat="1" applyFont="1" applyFill="1" applyBorder="1" applyAlignment="1">
      <alignment horizontal="center"/>
    </xf>
    <xf numFmtId="0" fontId="4" fillId="0" borderId="0" xfId="0" applyFont="1"/>
    <xf numFmtId="0" fontId="71" fillId="0" borderId="0" xfId="0" applyFont="1"/>
    <xf numFmtId="0" fontId="71" fillId="2" borderId="0" xfId="0" applyFont="1" applyFill="1" applyAlignment="1"/>
    <xf numFmtId="0" fontId="31" fillId="0" borderId="5" xfId="0" applyFont="1" applyBorder="1" applyAlignment="1">
      <alignment horizontal="center"/>
    </xf>
    <xf numFmtId="0" fontId="0" fillId="2" borderId="0" xfId="0" applyFill="1" applyBorder="1" applyAlignment="1">
      <alignment horizontal="left"/>
    </xf>
    <xf numFmtId="0" fontId="25" fillId="0" borderId="0" xfId="2" applyFont="1" applyBorder="1" applyAlignment="1" applyProtection="1">
      <alignment horizontal="left" vertical="center"/>
      <protection locked="0"/>
    </xf>
    <xf numFmtId="0" fontId="0" fillId="0" borderId="0" xfId="0" applyFill="1" applyBorder="1"/>
    <xf numFmtId="164" fontId="25" fillId="0" borderId="0" xfId="2" applyNumberFormat="1" applyFont="1" applyBorder="1" applyAlignment="1" applyProtection="1">
      <alignment horizontal="center"/>
      <protection locked="0"/>
    </xf>
    <xf numFmtId="2" fontId="25" fillId="8" borderId="0" xfId="2" applyNumberFormat="1" applyFont="1" applyFill="1" applyBorder="1" applyAlignment="1" applyProtection="1">
      <alignment horizontal="center"/>
      <protection locked="0"/>
    </xf>
    <xf numFmtId="0" fontId="0" fillId="0" borderId="0" xfId="0" applyFont="1" applyFill="1" applyBorder="1" applyAlignment="1">
      <alignment horizontal="right"/>
    </xf>
    <xf numFmtId="0" fontId="0" fillId="0" borderId="17" xfId="0" applyFont="1" applyFill="1" applyBorder="1" applyAlignment="1">
      <alignment horizontal="right"/>
    </xf>
    <xf numFmtId="165" fontId="0" fillId="0" borderId="54" xfId="0" applyNumberFormat="1" applyFill="1" applyBorder="1"/>
    <xf numFmtId="165" fontId="0" fillId="0" borderId="17" xfId="0" applyNumberFormat="1" applyBorder="1"/>
    <xf numFmtId="0" fontId="71" fillId="8" borderId="0" xfId="0" applyFont="1" applyFill="1"/>
    <xf numFmtId="0" fontId="71" fillId="7" borderId="0" xfId="0" applyFont="1" applyFill="1"/>
    <xf numFmtId="0" fontId="0" fillId="8" borderId="0" xfId="0" applyFill="1"/>
    <xf numFmtId="0" fontId="0" fillId="7" borderId="0" xfId="0" applyFill="1"/>
    <xf numFmtId="0" fontId="71" fillId="2" borderId="0" xfId="0" applyFont="1" applyFill="1"/>
    <xf numFmtId="0" fontId="30" fillId="8" borderId="5" xfId="0" applyFont="1" applyFill="1" applyBorder="1" applyAlignment="1">
      <alignment horizontal="left"/>
    </xf>
    <xf numFmtId="0" fontId="30" fillId="8" borderId="0" xfId="0" applyFont="1" applyFill="1" applyBorder="1" applyAlignment="1">
      <alignment horizontal="center"/>
    </xf>
    <xf numFmtId="0" fontId="30" fillId="8" borderId="0" xfId="0" applyFont="1" applyFill="1" applyBorder="1" applyAlignment="1">
      <alignment horizontal="left"/>
    </xf>
    <xf numFmtId="0" fontId="31" fillId="0" borderId="0" xfId="0" applyFont="1" applyFill="1" applyAlignment="1">
      <alignment horizontal="right"/>
    </xf>
    <xf numFmtId="165" fontId="30" fillId="0" borderId="0" xfId="0" applyNumberFormat="1" applyFont="1" applyFill="1"/>
    <xf numFmtId="0" fontId="30" fillId="0" borderId="0" xfId="0" applyFont="1" applyFill="1"/>
    <xf numFmtId="0" fontId="71" fillId="0" borderId="0" xfId="0" applyFont="1" applyBorder="1" applyAlignment="1">
      <alignment horizontal="left"/>
    </xf>
    <xf numFmtId="0" fontId="0" fillId="0" borderId="56" xfId="0" applyBorder="1"/>
    <xf numFmtId="0" fontId="0" fillId="0" borderId="1" xfId="0" applyBorder="1"/>
    <xf numFmtId="0" fontId="0" fillId="0" borderId="57" xfId="0" applyBorder="1"/>
    <xf numFmtId="11" fontId="0" fillId="0" borderId="54" xfId="0" applyNumberFormat="1" applyBorder="1"/>
    <xf numFmtId="0" fontId="0" fillId="0" borderId="10" xfId="0" applyBorder="1" applyAlignment="1">
      <alignment horizontal="center"/>
    </xf>
    <xf numFmtId="1" fontId="0" fillId="9" borderId="2" xfId="0" applyNumberFormat="1" applyFill="1" applyBorder="1"/>
    <xf numFmtId="167" fontId="9" fillId="0" borderId="0" xfId="4" applyNumberFormat="1" applyFont="1" applyFill="1" applyBorder="1" applyAlignment="1">
      <alignment horizontal="center"/>
    </xf>
    <xf numFmtId="169" fontId="0" fillId="7" borderId="0" xfId="0" applyNumberFormat="1" applyFill="1" applyBorder="1"/>
    <xf numFmtId="0" fontId="49" fillId="0" borderId="20" xfId="0" applyFont="1" applyBorder="1" applyAlignment="1">
      <alignment horizontal="center"/>
    </xf>
    <xf numFmtId="2" fontId="9" fillId="8" borderId="0" xfId="2" applyNumberFormat="1" applyFont="1" applyFill="1" applyBorder="1" applyAlignment="1" applyProtection="1">
      <alignment horizontal="center" vertical="center"/>
      <protection locked="0"/>
    </xf>
    <xf numFmtId="0" fontId="57" fillId="0" borderId="69" xfId="0" applyFont="1" applyBorder="1" applyAlignment="1">
      <alignment horizontal="center"/>
    </xf>
    <xf numFmtId="0" fontId="1" fillId="0" borderId="20" xfId="0" applyFont="1" applyBorder="1" applyAlignment="1">
      <alignment horizontal="center"/>
    </xf>
    <xf numFmtId="0" fontId="42" fillId="0" borderId="24" xfId="0" applyFont="1" applyBorder="1"/>
    <xf numFmtId="2" fontId="73" fillId="0" borderId="0" xfId="2" applyNumberFormat="1" applyFont="1" applyFill="1" applyBorder="1" applyAlignment="1" applyProtection="1">
      <alignment horizontal="center"/>
      <protection locked="0"/>
    </xf>
    <xf numFmtId="11" fontId="9" fillId="0" borderId="2" xfId="2" applyNumberFormat="1" applyFont="1" applyFill="1" applyBorder="1" applyAlignment="1" applyProtection="1">
      <alignment horizontal="center"/>
      <protection locked="0"/>
    </xf>
    <xf numFmtId="167" fontId="6" fillId="0" borderId="0" xfId="2" applyNumberFormat="1" applyFont="1" applyFill="1" applyBorder="1" applyAlignment="1" applyProtection="1">
      <alignment horizontal="center"/>
      <protection locked="0"/>
    </xf>
    <xf numFmtId="1" fontId="9" fillId="0" borderId="0" xfId="2" applyNumberFormat="1" applyFont="1" applyFill="1" applyBorder="1" applyAlignment="1" applyProtection="1">
      <alignment horizontal="center"/>
      <protection locked="0"/>
    </xf>
    <xf numFmtId="0" fontId="0" fillId="7" borderId="0" xfId="0" applyFont="1" applyFill="1" applyBorder="1" applyAlignment="1">
      <alignment horizontal="right"/>
    </xf>
    <xf numFmtId="169" fontId="0" fillId="7" borderId="54" xfId="0" applyNumberFormat="1" applyFill="1" applyBorder="1"/>
    <xf numFmtId="169" fontId="0" fillId="0" borderId="0" xfId="0" applyNumberFormat="1" applyFill="1" applyBorder="1"/>
    <xf numFmtId="1" fontId="0" fillId="0" borderId="0" xfId="0" applyNumberFormat="1" applyFill="1" applyBorder="1"/>
    <xf numFmtId="1" fontId="0" fillId="0" borderId="54" xfId="0" applyNumberFormat="1" applyFill="1" applyBorder="1"/>
    <xf numFmtId="0" fontId="0" fillId="0" borderId="10" xfId="0" applyFill="1" applyBorder="1"/>
    <xf numFmtId="0" fontId="0" fillId="0" borderId="64" xfId="0" applyFill="1" applyBorder="1"/>
    <xf numFmtId="0" fontId="49" fillId="0" borderId="0" xfId="0" applyFont="1" applyBorder="1" applyAlignment="1">
      <alignment horizontal="center"/>
    </xf>
    <xf numFmtId="0" fontId="0" fillId="2" borderId="34" xfId="0" applyFill="1" applyBorder="1"/>
    <xf numFmtId="2" fontId="9" fillId="8" borderId="0" xfId="2" applyNumberFormat="1" applyFont="1" applyFill="1" applyBorder="1" applyAlignment="1" applyProtection="1">
      <alignment horizontal="center"/>
      <protection locked="0"/>
    </xf>
    <xf numFmtId="169" fontId="9" fillId="8" borderId="0" xfId="2" applyNumberFormat="1" applyFont="1" applyFill="1" applyBorder="1" applyAlignment="1" applyProtection="1">
      <alignment horizontal="center"/>
      <protection locked="0"/>
    </xf>
    <xf numFmtId="1" fontId="9" fillId="8" borderId="0" xfId="2" applyNumberFormat="1" applyFont="1" applyFill="1" applyBorder="1" applyAlignment="1" applyProtection="1">
      <alignment horizontal="center"/>
      <protection locked="0"/>
    </xf>
    <xf numFmtId="2" fontId="30" fillId="8" borderId="0" xfId="0" quotePrefix="1" applyNumberFormat="1" applyFont="1" applyFill="1" applyBorder="1" applyAlignment="1">
      <alignment horizontal="center"/>
    </xf>
    <xf numFmtId="0" fontId="49" fillId="0" borderId="22" xfId="0" applyFont="1" applyBorder="1" applyAlignment="1">
      <alignment horizontal="center" wrapText="1"/>
    </xf>
    <xf numFmtId="0" fontId="4" fillId="0" borderId="38" xfId="0" applyFont="1" applyBorder="1" applyAlignment="1">
      <alignment horizontal="center" wrapText="1"/>
    </xf>
    <xf numFmtId="0" fontId="58" fillId="0" borderId="38" xfId="0" applyFont="1" applyBorder="1" applyAlignment="1">
      <alignment horizontal="center" wrapText="1"/>
    </xf>
    <xf numFmtId="0" fontId="58" fillId="0" borderId="61" xfId="0" applyFont="1" applyBorder="1" applyAlignment="1">
      <alignment horizontal="center" wrapText="1"/>
    </xf>
    <xf numFmtId="0" fontId="40" fillId="0" borderId="0" xfId="0" applyFont="1" applyFill="1" applyBorder="1" applyAlignment="1">
      <alignment horizontal="left" wrapText="1"/>
    </xf>
    <xf numFmtId="0" fontId="61" fillId="0" borderId="0" xfId="0" applyFont="1" applyFill="1" applyBorder="1" applyAlignment="1">
      <alignment horizontal="left" wrapText="1"/>
    </xf>
    <xf numFmtId="0" fontId="56" fillId="4" borderId="65" xfId="0" applyFont="1" applyFill="1" applyBorder="1" applyAlignment="1">
      <alignment horizontal="center"/>
    </xf>
    <xf numFmtId="0" fontId="0" fillId="0" borderId="65" xfId="0" applyBorder="1" applyAlignment="1"/>
    <xf numFmtId="0" fontId="0" fillId="0" borderId="66" xfId="0" applyBorder="1" applyAlignment="1"/>
    <xf numFmtId="0" fontId="56" fillId="5" borderId="67" xfId="0" applyFont="1" applyFill="1" applyBorder="1" applyAlignment="1">
      <alignment horizontal="center"/>
    </xf>
    <xf numFmtId="0" fontId="0" fillId="0" borderId="68" xfId="0" applyBorder="1" applyAlignment="1"/>
    <xf numFmtId="0" fontId="63" fillId="4" borderId="2" xfId="0" applyFont="1" applyFill="1" applyBorder="1" applyAlignment="1">
      <alignment horizontal="center"/>
    </xf>
    <xf numFmtId="0" fontId="63" fillId="4" borderId="8" xfId="0" applyFont="1" applyFill="1" applyBorder="1" applyAlignment="1">
      <alignment horizontal="center"/>
    </xf>
    <xf numFmtId="0" fontId="51" fillId="5" borderId="7" xfId="0" applyFont="1" applyFill="1" applyBorder="1" applyAlignment="1">
      <alignment horizontal="center"/>
    </xf>
    <xf numFmtId="0" fontId="51" fillId="5" borderId="2" xfId="0" applyFont="1" applyFill="1" applyBorder="1" applyAlignment="1">
      <alignment horizontal="center"/>
    </xf>
    <xf numFmtId="0" fontId="51" fillId="5" borderId="63" xfId="0" applyFont="1" applyFill="1" applyBorder="1" applyAlignment="1">
      <alignment horizontal="center"/>
    </xf>
    <xf numFmtId="0" fontId="49" fillId="0" borderId="58" xfId="0" applyFont="1" applyBorder="1" applyAlignment="1">
      <alignment horizontal="center"/>
    </xf>
    <xf numFmtId="0" fontId="49" fillId="0" borderId="60" xfId="0" applyFont="1" applyBorder="1" applyAlignment="1">
      <alignment horizontal="center"/>
    </xf>
    <xf numFmtId="0" fontId="49" fillId="0" borderId="59" xfId="0" applyFont="1" applyBorder="1" applyAlignment="1">
      <alignment horizontal="center"/>
    </xf>
    <xf numFmtId="0" fontId="49" fillId="0" borderId="20" xfId="0" applyFont="1" applyBorder="1" applyAlignment="1">
      <alignment horizontal="center"/>
    </xf>
    <xf numFmtId="0" fontId="60" fillId="0" borderId="0" xfId="0" applyFont="1" applyBorder="1" applyAlignment="1">
      <alignment horizontal="left" wrapText="1"/>
    </xf>
    <xf numFmtId="0" fontId="24" fillId="3" borderId="11" xfId="0" applyFont="1" applyFill="1" applyBorder="1" applyAlignment="1">
      <alignment horizontal="center"/>
    </xf>
    <xf numFmtId="0" fontId="0" fillId="0" borderId="16" xfId="0" applyBorder="1" applyAlignment="1">
      <alignment horizontal="center"/>
    </xf>
    <xf numFmtId="0" fontId="0" fillId="0" borderId="62" xfId="0" applyBorder="1" applyAlignment="1">
      <alignment horizontal="center"/>
    </xf>
    <xf numFmtId="0" fontId="69" fillId="0" borderId="42" xfId="0" applyFont="1" applyBorder="1" applyAlignment="1">
      <alignment horizontal="left" wrapText="1"/>
    </xf>
    <xf numFmtId="0" fontId="69" fillId="0" borderId="34" xfId="0" applyFont="1" applyBorder="1" applyAlignment="1">
      <alignment horizontal="left" wrapText="1"/>
    </xf>
    <xf numFmtId="0" fontId="69" fillId="0" borderId="35" xfId="0" applyFont="1" applyBorder="1" applyAlignment="1">
      <alignment horizontal="left" wrapText="1"/>
    </xf>
    <xf numFmtId="0" fontId="62" fillId="0" borderId="24" xfId="0" applyFont="1" applyBorder="1" applyAlignment="1">
      <alignment horizontal="left" wrapText="1"/>
    </xf>
    <xf numFmtId="0" fontId="62" fillId="0" borderId="0" xfId="0" applyFont="1" applyBorder="1" applyAlignment="1">
      <alignment horizontal="left" wrapText="1"/>
    </xf>
    <xf numFmtId="0" fontId="62" fillId="0" borderId="25" xfId="0" applyFont="1" applyBorder="1" applyAlignment="1">
      <alignment horizontal="left" wrapText="1"/>
    </xf>
    <xf numFmtId="0" fontId="2" fillId="0" borderId="26" xfId="0" applyFont="1" applyBorder="1" applyAlignment="1">
      <alignment wrapText="1"/>
    </xf>
    <xf numFmtId="0" fontId="0" fillId="0" borderId="27" xfId="0" applyBorder="1" applyAlignment="1"/>
    <xf numFmtId="0" fontId="0" fillId="0" borderId="30" xfId="0" applyBorder="1" applyAlignment="1"/>
    <xf numFmtId="0" fontId="49" fillId="3" borderId="2" xfId="0" applyFont="1" applyFill="1" applyBorder="1" applyAlignment="1">
      <alignment horizontal="center"/>
    </xf>
    <xf numFmtId="0" fontId="0" fillId="0" borderId="2" xfId="0" applyBorder="1" applyAlignment="1">
      <alignment horizontal="center"/>
    </xf>
    <xf numFmtId="0" fontId="0" fillId="0" borderId="2" xfId="0" applyBorder="1" applyAlignment="1"/>
    <xf numFmtId="0" fontId="64" fillId="0" borderId="2" xfId="0" applyFont="1" applyBorder="1" applyAlignment="1">
      <alignment horizontal="center"/>
    </xf>
    <xf numFmtId="0" fontId="58" fillId="0" borderId="0" xfId="0" applyFont="1" applyAlignment="1">
      <alignment horizontal="center"/>
    </xf>
  </cellXfs>
  <cellStyles count="6">
    <cellStyle name="Normal" xfId="0" builtinId="0"/>
    <cellStyle name="Normal_Cowherd Dust Model" xfId="1"/>
    <cellStyle name="Normal_KARIMI" xfId="2"/>
    <cellStyle name="Normal_NAPA_AR2" xfId="3"/>
    <cellStyle name="Normal_Off-site resid-curr-det-B1R1" xfId="4"/>
    <cellStyle name="Normal_Resident parameters (Table 3-4)" xfId="5"/>
  </cellStyles>
  <dxfs count="0"/>
  <tableStyles count="0"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81"/>
  <sheetViews>
    <sheetView tabSelected="1" zoomScaleNormal="100" zoomScalePageLayoutView="85" workbookViewId="0">
      <selection activeCell="G53" sqref="G53"/>
    </sheetView>
  </sheetViews>
  <sheetFormatPr defaultColWidth="11.44140625" defaultRowHeight="14.4" x14ac:dyDescent="0.3"/>
  <cols>
    <col min="1" max="1" width="52.88671875" customWidth="1"/>
    <col min="2" max="2" width="12.109375" bestFit="1" customWidth="1"/>
    <col min="3" max="3" width="13.109375" bestFit="1" customWidth="1"/>
    <col min="4" max="4" width="17.109375" bestFit="1" customWidth="1"/>
    <col min="5" max="5" width="18" customWidth="1"/>
    <col min="6" max="6" width="15.88671875" bestFit="1" customWidth="1"/>
    <col min="7" max="7" width="20.33203125" customWidth="1"/>
    <col min="8" max="8" width="17.33203125" customWidth="1"/>
    <col min="9" max="9" width="21.109375" customWidth="1"/>
    <col min="10" max="10" width="19.6640625" customWidth="1"/>
    <col min="11" max="11" width="20.44140625" customWidth="1"/>
    <col min="12" max="12" width="14.33203125" bestFit="1" customWidth="1"/>
    <col min="13" max="13" width="11.6640625" customWidth="1"/>
    <col min="14" max="14" width="36" bestFit="1" customWidth="1"/>
  </cols>
  <sheetData>
    <row r="1" spans="1:13" ht="21" x14ac:dyDescent="0.4">
      <c r="A1" s="259" t="s">
        <v>386</v>
      </c>
    </row>
    <row r="2" spans="1:13" ht="21" x14ac:dyDescent="0.4">
      <c r="A2" s="259" t="s">
        <v>377</v>
      </c>
    </row>
    <row r="3" spans="1:13" ht="21" x14ac:dyDescent="0.4">
      <c r="A3" s="259" t="s">
        <v>382</v>
      </c>
    </row>
    <row r="4" spans="1:13" ht="21" x14ac:dyDescent="0.4">
      <c r="A4" s="259" t="s">
        <v>383</v>
      </c>
    </row>
    <row r="5" spans="1:13" ht="21" x14ac:dyDescent="0.4">
      <c r="A5" s="259"/>
    </row>
    <row r="7" spans="1:13" ht="21" x14ac:dyDescent="0.4">
      <c r="A7" s="271" t="s">
        <v>329</v>
      </c>
      <c r="B7" s="273"/>
      <c r="C7" s="273"/>
      <c r="D7" s="273"/>
      <c r="E7" s="273"/>
      <c r="F7" s="273"/>
      <c r="G7" s="273"/>
      <c r="H7" s="273"/>
      <c r="I7" s="273"/>
      <c r="J7" s="273"/>
    </row>
    <row r="8" spans="1:13" ht="21" x14ac:dyDescent="0.4">
      <c r="A8" s="272" t="s">
        <v>385</v>
      </c>
      <c r="B8" s="274"/>
      <c r="C8" s="274"/>
      <c r="D8" s="274"/>
      <c r="E8" s="274"/>
      <c r="F8" s="274"/>
      <c r="G8" s="274"/>
      <c r="H8" s="274"/>
      <c r="I8" s="274"/>
      <c r="J8" s="274"/>
    </row>
    <row r="9" spans="1:13" ht="21" x14ac:dyDescent="0.4">
      <c r="A9" s="259" t="s">
        <v>330</v>
      </c>
    </row>
    <row r="10" spans="1:13" ht="21" x14ac:dyDescent="0.4">
      <c r="A10" s="275" t="s">
        <v>384</v>
      </c>
      <c r="B10" s="166"/>
      <c r="C10" s="166"/>
      <c r="D10" s="166"/>
      <c r="E10" s="166"/>
      <c r="F10" s="166"/>
      <c r="G10" s="166"/>
      <c r="H10" s="166"/>
      <c r="I10" s="166"/>
      <c r="J10" s="166"/>
    </row>
    <row r="13" spans="1:13" x14ac:dyDescent="0.3">
      <c r="B13" s="133">
        <v>9.9999999999999995E-7</v>
      </c>
    </row>
    <row r="14" spans="1:13" ht="22.2" thickBot="1" x14ac:dyDescent="0.5">
      <c r="A14" s="163" t="s">
        <v>337</v>
      </c>
      <c r="B14" s="217" t="s">
        <v>107</v>
      </c>
      <c r="C14" s="160"/>
      <c r="D14" s="160"/>
      <c r="E14" s="160"/>
      <c r="F14" s="160"/>
      <c r="G14" s="160"/>
      <c r="H14" s="160"/>
      <c r="I14" s="160"/>
      <c r="J14" s="160"/>
      <c r="K14" s="160"/>
      <c r="L14" s="160"/>
      <c r="M14" s="160"/>
    </row>
    <row r="15" spans="1:13" ht="19.2" thickTop="1" thickBot="1" x14ac:dyDescent="0.4">
      <c r="A15" s="136"/>
      <c r="B15" s="137"/>
      <c r="C15" s="319" t="s">
        <v>150</v>
      </c>
      <c r="D15" s="319"/>
      <c r="E15" s="319"/>
      <c r="F15" s="320"/>
      <c r="G15" s="321"/>
      <c r="H15" s="322" t="s">
        <v>151</v>
      </c>
      <c r="I15" s="320"/>
      <c r="J15" s="320"/>
      <c r="K15" s="320"/>
      <c r="L15" s="323"/>
    </row>
    <row r="16" spans="1:13" ht="18.600000000000001" thickTop="1" x14ac:dyDescent="0.35">
      <c r="A16" s="138" t="s">
        <v>295</v>
      </c>
      <c r="B16" s="140" t="s">
        <v>32</v>
      </c>
      <c r="C16" s="141" t="s">
        <v>156</v>
      </c>
      <c r="D16" s="141" t="s">
        <v>157</v>
      </c>
      <c r="E16" s="141" t="s">
        <v>45</v>
      </c>
      <c r="F16" s="141" t="s">
        <v>46</v>
      </c>
      <c r="G16" s="182" t="s">
        <v>349</v>
      </c>
      <c r="H16" s="293" t="s">
        <v>156</v>
      </c>
      <c r="I16" s="141" t="s">
        <v>157</v>
      </c>
      <c r="J16" s="141" t="s">
        <v>45</v>
      </c>
      <c r="K16" s="141" t="s">
        <v>46</v>
      </c>
      <c r="L16" s="212" t="s">
        <v>349</v>
      </c>
    </row>
    <row r="17" spans="1:13" ht="15.6" x14ac:dyDescent="0.3">
      <c r="A17" s="228" t="s">
        <v>136</v>
      </c>
      <c r="B17" s="173" t="s">
        <v>260</v>
      </c>
      <c r="C17" s="222">
        <f>($C$50*$B$41*C$61*C$62*(C$64+(C$63*C$65))) / (C$67*C$69)</f>
        <v>2.5661924533379563E-8</v>
      </c>
      <c r="D17" s="222">
        <f>($C$50*$B$41*D$61*D$62*(D$64+(D$63*D$65))) / (D$67*D$69)</f>
        <v>5.9383579483983458E-9</v>
      </c>
      <c r="E17" s="222">
        <f>($C$50*$B$41*E$61*E$62*(E$64+(E$63*E$65))) / (E$67*E$69)</f>
        <v>2.5717993932796476E-9</v>
      </c>
      <c r="F17" s="222">
        <f>($C$50*$B$41*F$61*F$62*(F$64+(F$63*F$65))) / (F$67*F$69)</f>
        <v>1.1430219525687323E-9</v>
      </c>
      <c r="G17" s="222">
        <f>($C$50*$B$41*G$61*G$62*(G$64+(G$63*G$65))) / (G$67*G$69)</f>
        <v>6.2408998610252784E-9</v>
      </c>
      <c r="H17" s="224">
        <f>($D$50*$C$41*C$61*C$62*(C$64+(C$63*C$65))) / (C$67*C$69)</f>
        <v>0</v>
      </c>
      <c r="I17" s="222">
        <f>($D$50*$C$41*D$61*D$62*(D$64+(D$63*D$65))) / (D$67*D$69)</f>
        <v>0</v>
      </c>
      <c r="J17" s="222">
        <f>($D$50*$C$41*E$61*E$62*(E$64+(E$63*E$65))) / (E$67*E$69)</f>
        <v>0</v>
      </c>
      <c r="K17" s="222">
        <f>($D$50*$C$41*F$61*F$62*(F$64+(F$63*F$65))) / (F$67*F$69)</f>
        <v>0</v>
      </c>
      <c r="L17" s="226">
        <f>($D$50*$C$41*G$61*G$62*(G$64+(G$63*G$65))) / (G$67*G$69)</f>
        <v>0</v>
      </c>
    </row>
    <row r="18" spans="1:13" ht="16.2" thickBot="1" x14ac:dyDescent="0.35">
      <c r="A18" s="229" t="s">
        <v>137</v>
      </c>
      <c r="B18" s="174" t="s">
        <v>260</v>
      </c>
      <c r="C18" s="223">
        <f>($C$52*$B$41*C$61*C$62*(C$64+(C$63*C$65))) / (C$67*C$69)</f>
        <v>5.3956941688982028E-8</v>
      </c>
      <c r="D18" s="223">
        <f>($C$52*$B$41*D$61*D$62*(D$64+(D$63*D$65))) / (D$67*D$69)</f>
        <v>1.2486032882422911E-8</v>
      </c>
      <c r="E18" s="223">
        <f>($C$52*$B$41*E$61*E$62*(E$64+(E$63*E$65))) / (E$67*E$69)</f>
        <v>5.4074833599658458E-9</v>
      </c>
      <c r="F18" s="223">
        <f>($C$52*$B$41*F$61*F$62*(F$64+(F$63*F$65))) / (F$67*F$69)</f>
        <v>2.4033259377625984E-9</v>
      </c>
      <c r="G18" s="223">
        <f>($C$52*$B$41*G$61*G$62*(G$64+(G$63*G$65))) / (G$67*G$69)</f>
        <v>1.3122159620183786E-8</v>
      </c>
      <c r="H18" s="225">
        <f>($D$52*$C$41*C$61*C$62*(C$64+(C$63*C$65))) / (C$67*C$69)</f>
        <v>1.7069149348665709E-6</v>
      </c>
      <c r="I18" s="223">
        <f>($D$52*$C$41*D$61*D$62*(D$64+(D$63*D$65))) / (D$67*D$69)</f>
        <v>3.9499266150206553E-7</v>
      </c>
      <c r="J18" s="223">
        <f>($D$52*$C$41*E$61*E$62*(E$64+(E$63*E$65))) / (E$67*E$69)</f>
        <v>1.7106444172414892E-7</v>
      </c>
      <c r="K18" s="223">
        <f>($D$52*$C$41*F$61*F$62*(F$64+(F$63*F$65))) / (F$67*F$69)</f>
        <v>7.6028640766288423E-8</v>
      </c>
      <c r="L18" s="227">
        <f>($D$52*$C$41*G$61*G$62*(G$64+(G$63*G$65))) / (G$67*G$69)</f>
        <v>4.1511637858393474E-7</v>
      </c>
    </row>
    <row r="19" spans="1:13" ht="18.600000000000001" thickTop="1" x14ac:dyDescent="0.35">
      <c r="A19" s="139" t="s">
        <v>134</v>
      </c>
      <c r="B19" s="112"/>
      <c r="C19" s="151"/>
      <c r="D19" s="151"/>
      <c r="E19" s="151"/>
      <c r="F19" s="151"/>
      <c r="G19" s="151"/>
      <c r="H19" s="152"/>
      <c r="I19" s="151"/>
      <c r="J19" s="151"/>
      <c r="K19" s="151"/>
      <c r="L19" s="145"/>
    </row>
    <row r="20" spans="1:13" s="96" customFormat="1" ht="35.4" x14ac:dyDescent="0.3">
      <c r="A20" s="230" t="s">
        <v>141</v>
      </c>
      <c r="B20" s="171" t="s">
        <v>142</v>
      </c>
      <c r="C20" s="153">
        <f>($C$50/C$69)*1000000</f>
        <v>138.19512663759488</v>
      </c>
      <c r="D20" s="153">
        <f>($C$50/D$69)*1000000</f>
        <v>0.58570271094894777</v>
      </c>
      <c r="E20" s="153">
        <f>($C$50/E$69)*1000000</f>
        <v>0.61554254545219922</v>
      </c>
      <c r="F20" s="153">
        <f>($C$50/F$69)*1000000</f>
        <v>0.61554254545219922</v>
      </c>
      <c r="G20" s="233">
        <f>($C$50/G$69)*1000000</f>
        <v>0.61554254545219922</v>
      </c>
      <c r="H20" s="153">
        <f>($D$50/C$69)*1000000</f>
        <v>0</v>
      </c>
      <c r="I20" s="153">
        <f>($D$50/D$69)*1000000</f>
        <v>0</v>
      </c>
      <c r="J20" s="153">
        <f>($D$50/E$69)*1000000</f>
        <v>0</v>
      </c>
      <c r="K20" s="153">
        <f>($D$50/F$69)*1000000</f>
        <v>0</v>
      </c>
      <c r="L20" s="154">
        <f>($D$50/G$69)*1000000</f>
        <v>0</v>
      </c>
    </row>
    <row r="21" spans="1:13" ht="18" thickBot="1" x14ac:dyDescent="0.35">
      <c r="A21" s="231" t="s">
        <v>138</v>
      </c>
      <c r="B21" s="232" t="s">
        <v>79</v>
      </c>
      <c r="C21" s="155">
        <f>($C$52/C$69)*1000000</f>
        <v>290.5700381117984</v>
      </c>
      <c r="D21" s="155">
        <f>($C$52/D$69)*1000000</f>
        <v>1.231502609270168</v>
      </c>
      <c r="E21" s="155">
        <f>($C$52/E$69)*1000000</f>
        <v>1.2942440536309185</v>
      </c>
      <c r="F21" s="155">
        <f>($C$52/F$69)*1000000</f>
        <v>1.2942440536309185</v>
      </c>
      <c r="G21" s="234">
        <f>($C$52/G$69)*1000000</f>
        <v>1.2942440536309185</v>
      </c>
      <c r="H21" s="155">
        <f>($D$52/C$69)*1000000</f>
        <v>82.799120183224773</v>
      </c>
      <c r="I21" s="155">
        <f>($D$52/D$69)*1000000</f>
        <v>0.35092170277956553</v>
      </c>
      <c r="J21" s="155">
        <f>($D$52/E$69)*1000000</f>
        <v>0.36880013383134558</v>
      </c>
      <c r="K21" s="155">
        <f>($D$52/F$69)*1000000</f>
        <v>0.36880013383134558</v>
      </c>
      <c r="L21" s="156">
        <f>($D$52/G$69)*1000000</f>
        <v>0.36880013383134558</v>
      </c>
    </row>
    <row r="22" spans="1:13" ht="18" thickTop="1" x14ac:dyDescent="0.3">
      <c r="A22" s="317" t="s">
        <v>139</v>
      </c>
      <c r="B22" s="318"/>
      <c r="C22" s="318"/>
      <c r="D22" s="318"/>
      <c r="E22" s="93"/>
    </row>
    <row r="23" spans="1:13" ht="18" customHeight="1" x14ac:dyDescent="0.3">
      <c r="A23" s="317" t="s">
        <v>140</v>
      </c>
      <c r="B23" s="318"/>
      <c r="C23" s="318"/>
      <c r="D23" s="318"/>
    </row>
    <row r="24" spans="1:13" x14ac:dyDescent="0.3">
      <c r="A24" s="134"/>
      <c r="B24" s="132"/>
      <c r="C24" s="133"/>
    </row>
    <row r="25" spans="1:13" x14ac:dyDescent="0.3">
      <c r="B25" s="97"/>
      <c r="C25" s="97"/>
      <c r="D25" s="97"/>
      <c r="E25" s="97"/>
      <c r="F25" s="97"/>
      <c r="G25" s="97"/>
    </row>
    <row r="26" spans="1:13" ht="21.6" thickBot="1" x14ac:dyDescent="0.45">
      <c r="A26" s="164" t="s">
        <v>296</v>
      </c>
      <c r="B26" s="165"/>
      <c r="C26" s="165"/>
      <c r="D26" s="97"/>
      <c r="E26" s="97"/>
      <c r="F26" s="97"/>
      <c r="G26" s="97"/>
    </row>
    <row r="27" spans="1:13" ht="30" customHeight="1" thickTop="1" x14ac:dyDescent="0.3">
      <c r="A27" s="142"/>
      <c r="B27" s="313" t="s">
        <v>264</v>
      </c>
      <c r="C27" s="313"/>
      <c r="D27" s="137"/>
      <c r="E27" s="314" t="s">
        <v>5</v>
      </c>
      <c r="F27" s="315"/>
      <c r="G27" s="315"/>
      <c r="H27" s="315"/>
      <c r="I27" s="315"/>
      <c r="J27" s="315"/>
      <c r="K27" s="315"/>
      <c r="L27" s="315"/>
      <c r="M27" s="316"/>
    </row>
    <row r="28" spans="1:13" ht="15" thickBot="1" x14ac:dyDescent="0.35">
      <c r="A28" s="161" t="s">
        <v>152</v>
      </c>
      <c r="B28" s="177" t="s">
        <v>150</v>
      </c>
      <c r="C28" s="178" t="s">
        <v>151</v>
      </c>
      <c r="D28" s="93"/>
      <c r="E28" s="93"/>
      <c r="F28" s="324" t="s">
        <v>150</v>
      </c>
      <c r="G28" s="324"/>
      <c r="H28" s="324"/>
      <c r="I28" s="325"/>
      <c r="J28" s="326" t="s">
        <v>151</v>
      </c>
      <c r="K28" s="327"/>
      <c r="L28" s="327"/>
      <c r="M28" s="328"/>
    </row>
    <row r="29" spans="1:13" ht="19.2" thickTop="1" thickBot="1" x14ac:dyDescent="0.45">
      <c r="A29" s="295" t="s">
        <v>401</v>
      </c>
      <c r="B29" s="94">
        <f>0.5*((0.786*($F$31+$G$31))+(0.214*($H$31+$I$31)))</f>
        <v>0.48575599999999997</v>
      </c>
      <c r="C29" s="94">
        <f>0.5*((0.786*($J$31+$K$31))+(0.214*($L$31+$M$31)))</f>
        <v>0.692828</v>
      </c>
      <c r="D29" s="93"/>
      <c r="E29" s="93"/>
      <c r="F29" s="332" t="s">
        <v>146</v>
      </c>
      <c r="G29" s="330"/>
      <c r="H29" s="329" t="s">
        <v>147</v>
      </c>
      <c r="I29" s="330"/>
      <c r="J29" s="329" t="s">
        <v>146</v>
      </c>
      <c r="K29" s="330"/>
      <c r="L29" s="329" t="s">
        <v>147</v>
      </c>
      <c r="M29" s="331"/>
    </row>
    <row r="30" spans="1:13" ht="18.600000000000001" thickTop="1" x14ac:dyDescent="0.4">
      <c r="A30" s="295" t="s">
        <v>402</v>
      </c>
      <c r="B30" s="94">
        <f>0.5*((0.786*($F$32+$G$32))+(0.214*($H$32+$I$32)))</f>
        <v>8.3251600000000009E-2</v>
      </c>
      <c r="C30" s="94">
        <f>0.5*((0.786*($J$32+$K$32))+(0.214*($L$32+$M$32)))</f>
        <v>62.556600000000003</v>
      </c>
      <c r="D30" s="93"/>
      <c r="E30" s="100" t="s">
        <v>143</v>
      </c>
      <c r="F30" s="91" t="s">
        <v>144</v>
      </c>
      <c r="G30" s="91" t="s">
        <v>145</v>
      </c>
      <c r="H30" s="90" t="s">
        <v>144</v>
      </c>
      <c r="I30" s="101" t="s">
        <v>145</v>
      </c>
      <c r="J30" s="90" t="s">
        <v>144</v>
      </c>
      <c r="K30" s="91" t="s">
        <v>145</v>
      </c>
      <c r="L30" s="90" t="s">
        <v>144</v>
      </c>
      <c r="M30" s="144" t="s">
        <v>145</v>
      </c>
    </row>
    <row r="31" spans="1:13" ht="18" x14ac:dyDescent="0.4">
      <c r="A31" s="295" t="s">
        <v>403</v>
      </c>
      <c r="B31" s="94">
        <f>0.5*((0.786*($F$33+$G$33))+(0.214*($H$33+$I$33)))</f>
        <v>0.56933599999999995</v>
      </c>
      <c r="C31" s="94">
        <f>0.5*((0.786*($J$33+$K$33))+(0.214*($L$33+$M$33)))</f>
        <v>63.206000000000003</v>
      </c>
      <c r="D31" s="93"/>
      <c r="E31" s="93" t="s">
        <v>148</v>
      </c>
      <c r="F31" s="93">
        <v>0.185</v>
      </c>
      <c r="G31" s="93">
        <v>0.20699999999999999</v>
      </c>
      <c r="H31" s="92">
        <v>1.6</v>
      </c>
      <c r="I31" s="102">
        <v>1.5</v>
      </c>
      <c r="J31" s="92">
        <v>0.2</v>
      </c>
      <c r="K31" s="93">
        <v>0.28599999999999998</v>
      </c>
      <c r="L31" s="92">
        <v>2.2200000000000002</v>
      </c>
      <c r="M31" s="145">
        <v>2.4700000000000002</v>
      </c>
    </row>
    <row r="32" spans="1:13" x14ac:dyDescent="0.3">
      <c r="A32" s="143"/>
      <c r="B32" s="93"/>
      <c r="C32" s="93"/>
      <c r="D32" s="93"/>
      <c r="E32" s="93" t="s">
        <v>149</v>
      </c>
      <c r="F32" s="93">
        <v>8.3599999999999994E-2</v>
      </c>
      <c r="G32" s="93">
        <v>9.6000000000000002E-2</v>
      </c>
      <c r="H32" s="92">
        <v>4.82E-2</v>
      </c>
      <c r="I32" s="102">
        <v>7.0199999999999999E-2</v>
      </c>
      <c r="J32" s="92">
        <v>62.7</v>
      </c>
      <c r="K32" s="93">
        <v>72.3</v>
      </c>
      <c r="L32" s="92">
        <v>36.1</v>
      </c>
      <c r="M32" s="145">
        <v>52.7</v>
      </c>
    </row>
    <row r="33" spans="1:15" ht="15" thickBot="1" x14ac:dyDescent="0.35">
      <c r="A33" s="146"/>
      <c r="B33" s="147"/>
      <c r="C33" s="147"/>
      <c r="D33" s="147"/>
      <c r="E33" s="147" t="s">
        <v>229</v>
      </c>
      <c r="F33" s="147">
        <v>0.26900000000000002</v>
      </c>
      <c r="G33" s="147">
        <v>0.30299999999999999</v>
      </c>
      <c r="H33" s="148">
        <v>1.65</v>
      </c>
      <c r="I33" s="149">
        <v>1.57</v>
      </c>
      <c r="J33" s="148">
        <v>62.9</v>
      </c>
      <c r="K33" s="147">
        <v>72.5</v>
      </c>
      <c r="L33" s="148">
        <v>38.299999999999997</v>
      </c>
      <c r="M33" s="150">
        <v>55.1</v>
      </c>
    </row>
    <row r="34" spans="1:15" ht="15" thickTop="1" x14ac:dyDescent="0.3">
      <c r="A34" s="93"/>
      <c r="B34" s="93"/>
      <c r="C34" s="93"/>
      <c r="D34" s="93"/>
      <c r="E34" s="93"/>
      <c r="F34" s="93"/>
      <c r="G34" s="93"/>
      <c r="H34" s="93"/>
      <c r="I34" s="93"/>
      <c r="J34" s="93"/>
      <c r="K34" s="93"/>
      <c r="L34" s="93"/>
      <c r="M34" s="93"/>
      <c r="N34" s="93"/>
      <c r="O34" s="93"/>
    </row>
    <row r="35" spans="1:15" x14ac:dyDescent="0.3">
      <c r="A35" s="93"/>
      <c r="B35" s="93"/>
      <c r="C35" s="93"/>
      <c r="D35" s="93"/>
      <c r="E35" s="93"/>
      <c r="F35" s="93"/>
      <c r="G35" s="93"/>
      <c r="H35" s="93"/>
      <c r="I35" s="93"/>
      <c r="J35" s="93"/>
      <c r="K35" s="93"/>
      <c r="L35" s="93"/>
      <c r="M35" s="93"/>
      <c r="N35" s="93"/>
      <c r="O35" s="93"/>
    </row>
    <row r="36" spans="1:15" ht="21.6" thickBot="1" x14ac:dyDescent="0.45">
      <c r="A36" s="164" t="s">
        <v>297</v>
      </c>
      <c r="B36" s="166"/>
      <c r="C36" s="166"/>
      <c r="D36" s="166"/>
    </row>
    <row r="37" spans="1:15" ht="34.5" customHeight="1" thickTop="1" thickBot="1" x14ac:dyDescent="0.35">
      <c r="A37" s="136"/>
      <c r="B37" s="313" t="s">
        <v>264</v>
      </c>
      <c r="C37" s="313"/>
      <c r="D37" s="137"/>
      <c r="E37" s="137"/>
      <c r="F37" s="137"/>
      <c r="G37" s="137"/>
      <c r="H37" s="213"/>
    </row>
    <row r="38" spans="1:15" ht="16.8" thickBot="1" x14ac:dyDescent="0.35">
      <c r="A38" s="162" t="s">
        <v>269</v>
      </c>
      <c r="B38" s="177" t="s">
        <v>150</v>
      </c>
      <c r="C38" s="178" t="s">
        <v>47</v>
      </c>
      <c r="D38" s="140" t="s">
        <v>32</v>
      </c>
      <c r="E38" s="334" t="s">
        <v>390</v>
      </c>
      <c r="F38" s="335"/>
      <c r="G38" s="335"/>
      <c r="H38" s="336"/>
    </row>
    <row r="39" spans="1:15" ht="30.6" thickTop="1" x14ac:dyDescent="0.4">
      <c r="A39" s="295" t="s">
        <v>404</v>
      </c>
      <c r="B39" s="94">
        <f t="shared" ref="B39:C41" si="0">(1/10)*B29</f>
        <v>4.8575599999999997E-2</v>
      </c>
      <c r="C39" s="94">
        <f t="shared" si="0"/>
        <v>6.9282800000000005E-2</v>
      </c>
      <c r="D39" s="171" t="s">
        <v>44</v>
      </c>
      <c r="E39" s="111" t="s">
        <v>156</v>
      </c>
      <c r="F39" s="110" t="s">
        <v>157</v>
      </c>
      <c r="G39" s="183" t="s">
        <v>158</v>
      </c>
      <c r="H39" s="186" t="s">
        <v>349</v>
      </c>
      <c r="I39" s="93"/>
    </row>
    <row r="40" spans="1:15" ht="18.600000000000001" thickBot="1" x14ac:dyDescent="0.45">
      <c r="A40" s="295" t="s">
        <v>405</v>
      </c>
      <c r="B40" s="94">
        <f t="shared" si="0"/>
        <v>8.3251600000000016E-3</v>
      </c>
      <c r="C40" s="94">
        <f t="shared" si="0"/>
        <v>6.2556600000000007</v>
      </c>
      <c r="D40" s="171" t="s">
        <v>44</v>
      </c>
      <c r="E40" s="243">
        <f>(C61*C62*C66)/(C67)</f>
        <v>3.2615786040443573E-3</v>
      </c>
      <c r="F40" s="244">
        <f>(D61*D62*D66)/(D67)</f>
        <v>0.17808219178082191</v>
      </c>
      <c r="G40" s="244">
        <f>(F61*F62*F66)/(F67)</f>
        <v>3.2615786040443573E-2</v>
      </c>
      <c r="H40" s="245">
        <f>(G61*G62*G66)/(G67)</f>
        <v>0.17808219178082191</v>
      </c>
      <c r="I40" s="93"/>
    </row>
    <row r="41" spans="1:15" ht="18" x14ac:dyDescent="0.4">
      <c r="A41" s="295" t="s">
        <v>406</v>
      </c>
      <c r="B41" s="94">
        <f t="shared" si="0"/>
        <v>5.6933600000000001E-2</v>
      </c>
      <c r="C41" s="94">
        <f t="shared" si="0"/>
        <v>6.3206000000000007</v>
      </c>
      <c r="D41" s="171" t="s">
        <v>44</v>
      </c>
      <c r="E41" s="93"/>
      <c r="F41" s="93"/>
      <c r="G41" s="93"/>
      <c r="H41" s="145"/>
    </row>
    <row r="42" spans="1:15" ht="60.9" customHeight="1" x14ac:dyDescent="0.3">
      <c r="A42" s="340" t="s">
        <v>391</v>
      </c>
      <c r="B42" s="341"/>
      <c r="C42" s="341"/>
      <c r="D42" s="341"/>
      <c r="E42" s="341"/>
      <c r="F42" s="341"/>
      <c r="G42" s="341"/>
      <c r="H42" s="342"/>
    </row>
    <row r="43" spans="1:15" ht="51.75" customHeight="1" thickBot="1" x14ac:dyDescent="0.35">
      <c r="A43" s="343" t="s">
        <v>387</v>
      </c>
      <c r="B43" s="344"/>
      <c r="C43" s="344"/>
      <c r="D43" s="344"/>
      <c r="E43" s="344"/>
      <c r="F43" s="344"/>
      <c r="G43" s="344"/>
      <c r="H43" s="345"/>
    </row>
    <row r="44" spans="1:15" ht="15" thickTop="1" x14ac:dyDescent="0.3">
      <c r="B44" s="94"/>
      <c r="C44" s="94"/>
      <c r="D44" s="93"/>
      <c r="E44" s="93"/>
      <c r="F44" s="93"/>
      <c r="G44" s="93"/>
    </row>
    <row r="45" spans="1:15" ht="15" thickBot="1" x14ac:dyDescent="0.35">
      <c r="A45" s="93"/>
      <c r="B45" s="94"/>
      <c r="C45" s="94"/>
      <c r="G45" s="93"/>
    </row>
    <row r="46" spans="1:15" ht="15" thickBot="1" x14ac:dyDescent="0.35">
      <c r="A46" s="99"/>
      <c r="B46" s="115"/>
      <c r="C46" s="175" t="s">
        <v>150</v>
      </c>
      <c r="D46" s="176" t="s">
        <v>151</v>
      </c>
      <c r="G46" s="93"/>
    </row>
    <row r="47" spans="1:15" s="105" customFormat="1" ht="16.8" thickTop="1" thickBot="1" x14ac:dyDescent="0.4">
      <c r="A47" s="117" t="s">
        <v>259</v>
      </c>
      <c r="B47" s="98" t="s">
        <v>32</v>
      </c>
      <c r="C47" s="98" t="s">
        <v>263</v>
      </c>
      <c r="D47" s="118" t="s">
        <v>263</v>
      </c>
      <c r="E47" s="112"/>
      <c r="F47" s="112"/>
      <c r="G47" s="112"/>
      <c r="H47" s="112"/>
    </row>
    <row r="48" spans="1:15" ht="16.8" thickTop="1" x14ac:dyDescent="0.3">
      <c r="A48" s="104" t="s">
        <v>270</v>
      </c>
      <c r="B48" s="112" t="s">
        <v>15</v>
      </c>
      <c r="C48" s="269">
        <f>'Data and Analytical Sensitivity'!I2</f>
        <v>0.11754319733318429</v>
      </c>
      <c r="D48" s="269">
        <f>'Data and Analytical Sensitivity'!I2</f>
        <v>0.11754319733318429</v>
      </c>
      <c r="E48" s="242" t="s">
        <v>332</v>
      </c>
      <c r="F48" s="93"/>
      <c r="G48" s="93"/>
      <c r="H48" s="93"/>
    </row>
    <row r="49" spans="1:16" x14ac:dyDescent="0.3">
      <c r="A49" s="103" t="s">
        <v>271</v>
      </c>
      <c r="B49" s="112" t="s">
        <v>162</v>
      </c>
      <c r="C49" s="267">
        <f>'Data and Analytical Sensitivity'!I6</f>
        <v>5</v>
      </c>
      <c r="D49" s="268">
        <f>'Data and Analytical Sensitivity'!I7</f>
        <v>0</v>
      </c>
      <c r="E49" s="242" t="s">
        <v>331</v>
      </c>
      <c r="F49" s="93"/>
      <c r="G49" s="93"/>
      <c r="H49" s="93"/>
    </row>
    <row r="50" spans="1:16" ht="16.8" x14ac:dyDescent="0.35">
      <c r="A50" s="104" t="s">
        <v>18</v>
      </c>
      <c r="B50" s="112" t="s">
        <v>15</v>
      </c>
      <c r="C50" s="106">
        <f>C48*C49</f>
        <v>0.5877159866659214</v>
      </c>
      <c r="D50" s="116">
        <f>D48*D49</f>
        <v>0</v>
      </c>
      <c r="E50" s="13"/>
      <c r="F50" s="14"/>
      <c r="G50" s="14"/>
    </row>
    <row r="51" spans="1:16" x14ac:dyDescent="0.3">
      <c r="A51" s="104" t="s">
        <v>261</v>
      </c>
      <c r="B51" s="108" t="s">
        <v>262</v>
      </c>
      <c r="C51" s="106">
        <f>CHIINV(0.05,(C49+1)*2)/2</f>
        <v>10.513034908741533</v>
      </c>
      <c r="D51" s="116">
        <f>CHIINV(0.05,(D49+1)*2)/2</f>
        <v>2.9957322735539909</v>
      </c>
      <c r="E51" s="113"/>
      <c r="F51" s="93"/>
      <c r="G51" s="93"/>
      <c r="H51" s="93"/>
    </row>
    <row r="52" spans="1:16" ht="16.8" x14ac:dyDescent="0.35">
      <c r="A52" s="104" t="s">
        <v>19</v>
      </c>
      <c r="B52" s="112" t="s">
        <v>15</v>
      </c>
      <c r="C52" s="94">
        <f>C48*C51</f>
        <v>1.2357357368488611</v>
      </c>
      <c r="D52" s="270">
        <f>D48*D51</f>
        <v>0.35212794978774559</v>
      </c>
      <c r="E52" s="93"/>
      <c r="F52" s="93"/>
      <c r="G52" s="93"/>
      <c r="H52" s="93"/>
    </row>
    <row r="53" spans="1:16" ht="15" thickBot="1" x14ac:dyDescent="0.35">
      <c r="A53" s="337" t="s">
        <v>78</v>
      </c>
      <c r="B53" s="338"/>
      <c r="C53" s="338"/>
      <c r="D53" s="339"/>
      <c r="E53" s="114"/>
      <c r="F53" s="114"/>
      <c r="G53" s="114"/>
      <c r="H53" s="114"/>
    </row>
    <row r="54" spans="1:16" x14ac:dyDescent="0.3">
      <c r="A54" s="107"/>
      <c r="B54" s="107"/>
      <c r="C54" s="107"/>
      <c r="D54" s="107"/>
      <c r="E54" s="107"/>
      <c r="F54" s="107"/>
      <c r="G54" s="107"/>
      <c r="H54" s="107"/>
    </row>
    <row r="55" spans="1:16" x14ac:dyDescent="0.3">
      <c r="A55" s="107"/>
      <c r="B55" s="107"/>
      <c r="C55" s="107"/>
      <c r="D55" s="107"/>
      <c r="E55" s="107"/>
      <c r="F55" s="107"/>
      <c r="G55" s="107"/>
      <c r="H55" s="107"/>
    </row>
    <row r="56" spans="1:16" ht="30.75" customHeight="1" thickBot="1" x14ac:dyDescent="0.45">
      <c r="A56" s="167" t="s">
        <v>336</v>
      </c>
      <c r="B56" s="168"/>
      <c r="C56" s="168"/>
      <c r="D56" s="308"/>
    </row>
    <row r="57" spans="1:16" ht="20.100000000000001" customHeight="1" x14ac:dyDescent="0.35">
      <c r="A57" s="263" t="s">
        <v>20</v>
      </c>
      <c r="B57" s="265" t="s">
        <v>21</v>
      </c>
      <c r="C57" s="265" t="s">
        <v>208</v>
      </c>
      <c r="D57" s="266">
        <v>25.750499999999999</v>
      </c>
      <c r="E57" s="264"/>
    </row>
    <row r="58" spans="1:16" ht="20.100000000000001" customHeight="1" x14ac:dyDescent="0.3">
      <c r="A58" s="109" t="s">
        <v>33</v>
      </c>
      <c r="B58" s="307"/>
      <c r="C58" s="265"/>
      <c r="D58" s="265"/>
      <c r="E58" s="264"/>
    </row>
    <row r="59" spans="1:16" x14ac:dyDescent="0.3">
      <c r="A59" s="263" t="s">
        <v>418</v>
      </c>
      <c r="B59" s="252">
        <v>70</v>
      </c>
      <c r="C59" s="346" t="s">
        <v>155</v>
      </c>
      <c r="D59" s="347"/>
      <c r="E59" s="347"/>
      <c r="F59" s="347"/>
      <c r="G59" s="348"/>
      <c r="H59" s="185"/>
      <c r="I59" s="185"/>
      <c r="J59" s="185"/>
      <c r="K59" s="185"/>
      <c r="L59" s="185"/>
    </row>
    <row r="60" spans="1:16" ht="15" thickBot="1" x14ac:dyDescent="0.35">
      <c r="B60" s="98" t="s">
        <v>32</v>
      </c>
      <c r="C60" s="291" t="s">
        <v>156</v>
      </c>
      <c r="D60" s="291" t="s">
        <v>157</v>
      </c>
      <c r="E60" s="294" t="s">
        <v>45</v>
      </c>
      <c r="F60" s="294" t="s">
        <v>46</v>
      </c>
      <c r="G60" s="214" t="s">
        <v>349</v>
      </c>
    </row>
    <row r="61" spans="1:16" ht="15" thickTop="1" x14ac:dyDescent="0.3">
      <c r="A61" s="104" t="s">
        <v>153</v>
      </c>
      <c r="B61" s="112" t="s">
        <v>161</v>
      </c>
      <c r="C61" s="252">
        <v>250</v>
      </c>
      <c r="D61" s="252">
        <v>350</v>
      </c>
      <c r="E61" s="252">
        <v>225</v>
      </c>
      <c r="F61" s="252">
        <v>250</v>
      </c>
      <c r="G61" s="253">
        <v>350</v>
      </c>
    </row>
    <row r="62" spans="1:16" x14ac:dyDescent="0.3">
      <c r="A62" s="104" t="s">
        <v>154</v>
      </c>
      <c r="B62" s="112" t="s">
        <v>160</v>
      </c>
      <c r="C62" s="290">
        <v>1</v>
      </c>
      <c r="D62" s="300">
        <v>26</v>
      </c>
      <c r="E62" s="252">
        <v>25</v>
      </c>
      <c r="F62" s="252">
        <v>25</v>
      </c>
      <c r="G62" s="254">
        <v>26</v>
      </c>
      <c r="O62" s="184"/>
      <c r="P62" s="184"/>
    </row>
    <row r="63" spans="1:16" ht="15.6" x14ac:dyDescent="0.35">
      <c r="A63" s="104" t="s">
        <v>412</v>
      </c>
      <c r="B63" s="112" t="s">
        <v>106</v>
      </c>
      <c r="C63" s="290">
        <v>0</v>
      </c>
      <c r="D63" s="252">
        <v>20</v>
      </c>
      <c r="E63" s="290">
        <v>0</v>
      </c>
      <c r="F63" s="290">
        <v>8</v>
      </c>
      <c r="G63" s="254">
        <v>20</v>
      </c>
      <c r="O63" s="184"/>
      <c r="P63" s="184"/>
    </row>
    <row r="64" spans="1:16" ht="15.6" x14ac:dyDescent="0.35">
      <c r="A64" s="104" t="s">
        <v>413</v>
      </c>
      <c r="B64" s="112" t="s">
        <v>106</v>
      </c>
      <c r="C64" s="290">
        <v>8</v>
      </c>
      <c r="D64" s="290">
        <v>4</v>
      </c>
      <c r="E64" s="290">
        <v>8</v>
      </c>
      <c r="F64" s="290">
        <v>0</v>
      </c>
      <c r="G64" s="301">
        <v>4</v>
      </c>
      <c r="O64" s="184"/>
      <c r="P64" s="184"/>
    </row>
    <row r="65" spans="1:16" ht="15.6" x14ac:dyDescent="0.35">
      <c r="A65" s="104" t="s">
        <v>105</v>
      </c>
      <c r="B65" s="112" t="s">
        <v>162</v>
      </c>
      <c r="C65" s="290">
        <v>0</v>
      </c>
      <c r="D65" s="252">
        <v>0.4</v>
      </c>
      <c r="E65" s="290">
        <v>0</v>
      </c>
      <c r="F65" s="252">
        <v>0.4</v>
      </c>
      <c r="G65" s="254">
        <v>0.4</v>
      </c>
      <c r="O65" s="184"/>
      <c r="P65" s="184"/>
    </row>
    <row r="66" spans="1:16" ht="15.6" x14ac:dyDescent="0.35">
      <c r="A66" s="104" t="s">
        <v>414</v>
      </c>
      <c r="B66" s="171" t="s">
        <v>347</v>
      </c>
      <c r="C66" s="302">
        <f>C64+(C63*C65)</f>
        <v>8</v>
      </c>
      <c r="D66" s="303">
        <f>D64+(D63*D65)</f>
        <v>12</v>
      </c>
      <c r="E66" s="302">
        <f>E64+(E63*E65)</f>
        <v>8</v>
      </c>
      <c r="F66" s="302">
        <f>F64+(F63*F65)</f>
        <v>3.2</v>
      </c>
      <c r="G66" s="304">
        <f>G64+(G63*G65)</f>
        <v>12</v>
      </c>
      <c r="H66" s="333"/>
      <c r="I66" s="333"/>
      <c r="J66" s="333"/>
      <c r="K66" s="333"/>
      <c r="L66" s="333"/>
      <c r="M66" s="333"/>
    </row>
    <row r="67" spans="1:16" ht="15" thickBot="1" x14ac:dyDescent="0.35">
      <c r="A67" s="180" t="s">
        <v>419</v>
      </c>
      <c r="B67" s="287" t="s">
        <v>135</v>
      </c>
      <c r="C67" s="305">
        <f>$B$59*365*24</f>
        <v>613200</v>
      </c>
      <c r="D67" s="305">
        <f t="shared" ref="D67:G67" si="1">$B$59*365*24</f>
        <v>613200</v>
      </c>
      <c r="E67" s="305">
        <f t="shared" si="1"/>
        <v>613200</v>
      </c>
      <c r="F67" s="305">
        <f t="shared" si="1"/>
        <v>613200</v>
      </c>
      <c r="G67" s="306">
        <f t="shared" si="1"/>
        <v>613200</v>
      </c>
    </row>
    <row r="68" spans="1:16" ht="16.8" thickTop="1" x14ac:dyDescent="0.3">
      <c r="A68" s="218" t="s">
        <v>399</v>
      </c>
      <c r="B68" s="219" t="s">
        <v>16</v>
      </c>
      <c r="C68" s="95">
        <f>'PEF Construction Scenario'!D68</f>
        <v>4252798.2061708821</v>
      </c>
      <c r="D68" s="95">
        <f>'PEF Off-Site Resident'!D53</f>
        <v>1003437367.9331478</v>
      </c>
      <c r="E68" s="95">
        <f>'PEF Comm-Indust Worker'!D15</f>
        <v>954793443.61836851</v>
      </c>
      <c r="F68" s="95">
        <f>'PEF Comm-Indust Worker'!D15</f>
        <v>954793443.61836851</v>
      </c>
      <c r="G68" s="286">
        <f>'PEF Onsite Resident'!D15</f>
        <v>954793443.61836851</v>
      </c>
      <c r="H68" s="157" t="s">
        <v>365</v>
      </c>
    </row>
    <row r="69" spans="1:16" s="96" customFormat="1" ht="16.8" thickBot="1" x14ac:dyDescent="0.35">
      <c r="A69" s="221" t="s">
        <v>399</v>
      </c>
      <c r="B69" s="220" t="s">
        <v>17</v>
      </c>
      <c r="C69" s="169">
        <f>C68/1000</f>
        <v>4252.7982061708817</v>
      </c>
      <c r="D69" s="169">
        <f>D68/1000</f>
        <v>1003437.3679331478</v>
      </c>
      <c r="E69" s="169">
        <f>E68/1000</f>
        <v>954793.44361836847</v>
      </c>
      <c r="F69" s="169">
        <f>F68/1000</f>
        <v>954793.44361836847</v>
      </c>
      <c r="G69" s="170">
        <f>G68/1000</f>
        <v>954793.44361836847</v>
      </c>
    </row>
    <row r="71" spans="1:16" x14ac:dyDescent="0.3">
      <c r="A71" s="215" t="s">
        <v>388</v>
      </c>
    </row>
    <row r="72" spans="1:16" x14ac:dyDescent="0.3">
      <c r="A72" t="s">
        <v>407</v>
      </c>
    </row>
    <row r="73" spans="1:16" x14ac:dyDescent="0.3">
      <c r="A73" t="s">
        <v>408</v>
      </c>
    </row>
    <row r="74" spans="1:16" ht="15.6" x14ac:dyDescent="0.35">
      <c r="A74" t="s">
        <v>409</v>
      </c>
    </row>
    <row r="75" spans="1:16" ht="15.6" x14ac:dyDescent="0.35">
      <c r="A75" t="s">
        <v>410</v>
      </c>
    </row>
    <row r="76" spans="1:16" ht="15.6" x14ac:dyDescent="0.35">
      <c r="A76" t="s">
        <v>411</v>
      </c>
    </row>
    <row r="77" spans="1:16" x14ac:dyDescent="0.3">
      <c r="A77" t="s">
        <v>420</v>
      </c>
    </row>
    <row r="79" spans="1:16" x14ac:dyDescent="0.3">
      <c r="A79" t="s">
        <v>416</v>
      </c>
    </row>
    <row r="80" spans="1:16" x14ac:dyDescent="0.3">
      <c r="A80" t="s">
        <v>415</v>
      </c>
    </row>
    <row r="81" spans="1:1" x14ac:dyDescent="0.3">
      <c r="A81" t="s">
        <v>417</v>
      </c>
    </row>
  </sheetData>
  <mergeCells count="19">
    <mergeCell ref="H66:M66"/>
    <mergeCell ref="E38:H38"/>
    <mergeCell ref="A53:D53"/>
    <mergeCell ref="B37:C37"/>
    <mergeCell ref="A42:H42"/>
    <mergeCell ref="A43:H43"/>
    <mergeCell ref="C59:G59"/>
    <mergeCell ref="F28:I28"/>
    <mergeCell ref="J28:M28"/>
    <mergeCell ref="J29:K29"/>
    <mergeCell ref="L29:M29"/>
    <mergeCell ref="F29:G29"/>
    <mergeCell ref="H29:I29"/>
    <mergeCell ref="B27:C27"/>
    <mergeCell ref="E27:M27"/>
    <mergeCell ref="A22:D22"/>
    <mergeCell ref="A23:D23"/>
    <mergeCell ref="C15:G15"/>
    <mergeCell ref="H15:L15"/>
  </mergeCells>
  <phoneticPr fontId="65" type="noConversion"/>
  <pageMargins left="0.7" right="0.7" top="0.75" bottom="0.75" header="0.3" footer="0.3"/>
  <pageSetup orientation="portrait" r:id="rId1"/>
  <legacyDrawing r:id="rId2"/>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97"/>
  <sheetViews>
    <sheetView topLeftCell="A49" zoomScale="110" zoomScaleNormal="110" workbookViewId="0">
      <selection activeCell="G27" sqref="G27"/>
    </sheetView>
  </sheetViews>
  <sheetFormatPr defaultColWidth="11.44140625" defaultRowHeight="14.4" x14ac:dyDescent="0.3"/>
  <cols>
    <col min="1" max="1" width="79.88671875" customWidth="1"/>
    <col min="2" max="2" width="12.44140625" bestFit="1" customWidth="1"/>
    <col min="3" max="3" width="16.33203125" bestFit="1" customWidth="1"/>
    <col min="4" max="4" width="9.44140625" style="52" customWidth="1"/>
  </cols>
  <sheetData>
    <row r="1" spans="1:6" ht="18" x14ac:dyDescent="0.35">
      <c r="A1" s="349" t="s">
        <v>227</v>
      </c>
      <c r="B1" s="349"/>
      <c r="C1" s="349"/>
      <c r="D1" s="349"/>
      <c r="E1" s="349"/>
      <c r="F1" s="349"/>
    </row>
    <row r="2" spans="1:6" x14ac:dyDescent="0.3">
      <c r="A2" s="2" t="s">
        <v>33</v>
      </c>
      <c r="B2" s="3" t="s">
        <v>36</v>
      </c>
      <c r="C2" s="3" t="s">
        <v>32</v>
      </c>
      <c r="D2" s="42" t="s">
        <v>34</v>
      </c>
    </row>
    <row r="3" spans="1:6" x14ac:dyDescent="0.3">
      <c r="A3" s="74" t="s">
        <v>37</v>
      </c>
      <c r="B3" s="75"/>
      <c r="C3" s="75"/>
      <c r="D3" s="73"/>
    </row>
    <row r="4" spans="1:6" ht="16.8" x14ac:dyDescent="0.35">
      <c r="A4" s="6" t="s">
        <v>38</v>
      </c>
      <c r="B4" s="7" t="s">
        <v>39</v>
      </c>
      <c r="C4" s="8" t="s">
        <v>40</v>
      </c>
      <c r="D4" s="197">
        <f>(0.036*(1-D5)*((D6/D7)^3)*D8*D9*D10*8760)</f>
        <v>302928.05545763025</v>
      </c>
    </row>
    <row r="5" spans="1:6" ht="16.2" x14ac:dyDescent="0.3">
      <c r="A5" s="9" t="s">
        <v>235</v>
      </c>
      <c r="B5" s="7" t="s">
        <v>236</v>
      </c>
      <c r="C5" s="10" t="s">
        <v>237</v>
      </c>
      <c r="D5" s="44">
        <v>0</v>
      </c>
    </row>
    <row r="6" spans="1:6" ht="16.8" x14ac:dyDescent="0.35">
      <c r="A6" s="9" t="s">
        <v>238</v>
      </c>
      <c r="B6" s="11" t="s">
        <v>239</v>
      </c>
      <c r="C6" s="11" t="s">
        <v>240</v>
      </c>
      <c r="D6" s="292">
        <v>4.0999999999999996</v>
      </c>
    </row>
    <row r="7" spans="1:6" ht="16.8" x14ac:dyDescent="0.35">
      <c r="A7" s="9" t="s">
        <v>241</v>
      </c>
      <c r="B7" s="7" t="s">
        <v>242</v>
      </c>
      <c r="C7" s="8" t="s">
        <v>240</v>
      </c>
      <c r="D7" s="44">
        <v>11.32</v>
      </c>
    </row>
    <row r="8" spans="1:6" ht="16.8" x14ac:dyDescent="0.35">
      <c r="A8" s="9" t="s">
        <v>243</v>
      </c>
      <c r="B8" s="7" t="s">
        <v>244</v>
      </c>
      <c r="C8" s="10" t="s">
        <v>237</v>
      </c>
      <c r="D8" s="289">
        <v>0.19400000000000001</v>
      </c>
    </row>
    <row r="9" spans="1:6" ht="16.8" x14ac:dyDescent="0.35">
      <c r="A9" s="13" t="s">
        <v>245</v>
      </c>
      <c r="B9" s="14" t="s">
        <v>246</v>
      </c>
      <c r="C9" s="14" t="s">
        <v>247</v>
      </c>
      <c r="D9" s="15">
        <f>$D$44*4047</f>
        <v>104212.2735</v>
      </c>
    </row>
    <row r="10" spans="1:6" ht="16.2" x14ac:dyDescent="0.3">
      <c r="A10" s="79" t="s">
        <v>248</v>
      </c>
      <c r="B10" s="80" t="s">
        <v>249</v>
      </c>
      <c r="C10" s="31" t="s">
        <v>250</v>
      </c>
      <c r="D10" s="257">
        <f>Risk_Calculations!C62</f>
        <v>1</v>
      </c>
      <c r="E10" s="242" t="s">
        <v>80</v>
      </c>
    </row>
    <row r="11" spans="1:6" ht="16.8" x14ac:dyDescent="0.35">
      <c r="A11" s="6" t="s">
        <v>363</v>
      </c>
      <c r="B11" s="7" t="s">
        <v>168</v>
      </c>
      <c r="C11" s="14" t="s">
        <v>40</v>
      </c>
      <c r="D11" s="197">
        <f>0.35*0.0016*(((D6/2.2)^1.3)/((D13/2)^1.4))*D12*D14*D15*D16*1000</f>
        <v>5950.5021507808915</v>
      </c>
    </row>
    <row r="12" spans="1:6" ht="16.8" x14ac:dyDescent="0.35">
      <c r="A12" s="16" t="s">
        <v>364</v>
      </c>
      <c r="B12" s="17" t="s">
        <v>169</v>
      </c>
      <c r="C12" s="14" t="s">
        <v>170</v>
      </c>
      <c r="D12" s="309">
        <v>1.87</v>
      </c>
    </row>
    <row r="13" spans="1:6" ht="16.2" x14ac:dyDescent="0.3">
      <c r="A13" s="16" t="s">
        <v>283</v>
      </c>
      <c r="B13" s="14" t="s">
        <v>171</v>
      </c>
      <c r="C13" s="14" t="s">
        <v>53</v>
      </c>
      <c r="D13" s="310">
        <v>14.8</v>
      </c>
    </row>
    <row r="14" spans="1:6" ht="18" x14ac:dyDescent="0.35">
      <c r="A14" s="13" t="s">
        <v>54</v>
      </c>
      <c r="B14" s="14" t="s">
        <v>55</v>
      </c>
      <c r="C14" s="14" t="s">
        <v>247</v>
      </c>
      <c r="D14" s="15">
        <f>D9/5</f>
        <v>20842.454699999998</v>
      </c>
    </row>
    <row r="15" spans="1:6" ht="15.6" x14ac:dyDescent="0.35">
      <c r="A15" s="13" t="s">
        <v>281</v>
      </c>
      <c r="B15" s="14" t="s">
        <v>56</v>
      </c>
      <c r="C15" s="14" t="s">
        <v>57</v>
      </c>
      <c r="D15" s="15">
        <v>1</v>
      </c>
    </row>
    <row r="16" spans="1:6" ht="18" x14ac:dyDescent="0.35">
      <c r="A16" s="29" t="s">
        <v>58</v>
      </c>
      <c r="B16" s="21" t="s">
        <v>59</v>
      </c>
      <c r="C16" s="22" t="s">
        <v>237</v>
      </c>
      <c r="D16" s="45">
        <v>2</v>
      </c>
    </row>
    <row r="17" spans="1:4" x14ac:dyDescent="0.3">
      <c r="A17" s="16"/>
      <c r="B17" s="14"/>
      <c r="C17" s="14"/>
      <c r="D17" s="15"/>
    </row>
    <row r="18" spans="1:4" ht="16.8" x14ac:dyDescent="0.35">
      <c r="A18" s="19" t="s">
        <v>60</v>
      </c>
      <c r="B18" s="7" t="s">
        <v>61</v>
      </c>
      <c r="C18" s="14" t="s">
        <v>40</v>
      </c>
      <c r="D18" s="197">
        <f>0.75*(0.45*(D19^1.5)/(D20^1.4))*(D24/D21)*1000</f>
        <v>2758.3719210360914</v>
      </c>
    </row>
    <row r="19" spans="1:4" ht="16.2" x14ac:dyDescent="0.3">
      <c r="A19" s="9" t="s">
        <v>282</v>
      </c>
      <c r="B19" s="20" t="s">
        <v>62</v>
      </c>
      <c r="C19" s="14" t="s">
        <v>53</v>
      </c>
      <c r="D19" s="309">
        <v>10</v>
      </c>
    </row>
    <row r="20" spans="1:4" ht="16.2" x14ac:dyDescent="0.3">
      <c r="A20" s="16" t="s">
        <v>283</v>
      </c>
      <c r="B20" s="14" t="s">
        <v>171</v>
      </c>
      <c r="C20" s="14" t="s">
        <v>53</v>
      </c>
      <c r="D20" s="310">
        <f>D13</f>
        <v>14.8</v>
      </c>
    </row>
    <row r="21" spans="1:4" ht="16.8" x14ac:dyDescent="0.35">
      <c r="A21" s="16" t="s">
        <v>284</v>
      </c>
      <c r="B21" s="14" t="s">
        <v>63</v>
      </c>
      <c r="C21" s="14" t="s">
        <v>64</v>
      </c>
      <c r="D21" s="15">
        <v>11.4</v>
      </c>
    </row>
    <row r="22" spans="1:4" ht="15.6" x14ac:dyDescent="0.35">
      <c r="A22" s="16" t="s">
        <v>112</v>
      </c>
      <c r="B22" s="14" t="s">
        <v>43</v>
      </c>
      <c r="C22" s="18" t="s">
        <v>237</v>
      </c>
      <c r="D22" s="15">
        <v>3</v>
      </c>
    </row>
    <row r="23" spans="1:4" ht="15.6" x14ac:dyDescent="0.35">
      <c r="A23" s="16" t="s">
        <v>41</v>
      </c>
      <c r="B23" s="14" t="s">
        <v>42</v>
      </c>
      <c r="C23" s="14" t="s">
        <v>57</v>
      </c>
      <c r="D23" s="15">
        <v>2.44</v>
      </c>
    </row>
    <row r="24" spans="1:4" ht="16.8" x14ac:dyDescent="0.35">
      <c r="A24" s="82" t="s">
        <v>65</v>
      </c>
      <c r="B24" s="21" t="s">
        <v>66</v>
      </c>
      <c r="C24" s="21" t="s">
        <v>67</v>
      </c>
      <c r="D24" s="45">
        <f>(SQRT(D9)/D23)*SQRT(D9)*D22/1000</f>
        <v>128.1298444672131</v>
      </c>
    </row>
    <row r="25" spans="1:4" x14ac:dyDescent="0.3">
      <c r="A25" s="16"/>
      <c r="B25" s="14"/>
      <c r="C25" s="14"/>
      <c r="D25" s="15"/>
    </row>
    <row r="26" spans="1:4" ht="16.8" x14ac:dyDescent="0.35">
      <c r="A26" s="19" t="s">
        <v>68</v>
      </c>
      <c r="B26" s="7" t="s">
        <v>69</v>
      </c>
      <c r="C26" s="14" t="s">
        <v>40</v>
      </c>
      <c r="D26" s="197">
        <f>0.6*0.0056*(D27^2)*D30*1000</f>
        <v>55949.89541218229</v>
      </c>
    </row>
    <row r="27" spans="1:4" ht="16.8" x14ac:dyDescent="0.35">
      <c r="A27" s="16" t="s">
        <v>285</v>
      </c>
      <c r="B27" s="14" t="s">
        <v>70</v>
      </c>
      <c r="C27" s="14" t="s">
        <v>64</v>
      </c>
      <c r="D27" s="15">
        <v>11.4</v>
      </c>
    </row>
    <row r="28" spans="1:4" ht="15.6" x14ac:dyDescent="0.35">
      <c r="A28" s="16" t="s">
        <v>113</v>
      </c>
      <c r="B28" s="14" t="s">
        <v>114</v>
      </c>
      <c r="C28" s="18" t="s">
        <v>237</v>
      </c>
      <c r="D28" s="15">
        <v>3</v>
      </c>
    </row>
    <row r="29" spans="1:4" ht="15.6" x14ac:dyDescent="0.35">
      <c r="A29" s="16" t="s">
        <v>115</v>
      </c>
      <c r="B29" s="14" t="s">
        <v>116</v>
      </c>
      <c r="C29" s="14" t="s">
        <v>57</v>
      </c>
      <c r="D29" s="15">
        <v>2.44</v>
      </c>
    </row>
    <row r="30" spans="1:4" ht="16.8" x14ac:dyDescent="0.35">
      <c r="A30" s="82" t="s">
        <v>286</v>
      </c>
      <c r="B30" s="21" t="s">
        <v>71</v>
      </c>
      <c r="C30" s="21" t="s">
        <v>67</v>
      </c>
      <c r="D30" s="45">
        <f>(SQRT(D9)/D29)*SQRT(D9)*D28/1000</f>
        <v>128.1298444672131</v>
      </c>
    </row>
    <row r="31" spans="1:4" x14ac:dyDescent="0.3">
      <c r="A31" s="16"/>
      <c r="B31" s="14"/>
      <c r="C31" s="14"/>
      <c r="D31" s="15"/>
    </row>
    <row r="32" spans="1:4" ht="16.8" x14ac:dyDescent="0.35">
      <c r="A32" s="19" t="s">
        <v>72</v>
      </c>
      <c r="B32" s="7" t="s">
        <v>73</v>
      </c>
      <c r="C32" s="14" t="s">
        <v>40</v>
      </c>
      <c r="D32" s="197">
        <f>1.1*(D33^0.6)*D34*4047*0.0001*1000*D35</f>
        <v>18254.567469614172</v>
      </c>
    </row>
    <row r="33" spans="1:5" ht="16.2" x14ac:dyDescent="0.3">
      <c r="A33" s="9" t="s">
        <v>282</v>
      </c>
      <c r="B33" s="20" t="s">
        <v>62</v>
      </c>
      <c r="C33" s="14" t="s">
        <v>53</v>
      </c>
      <c r="D33" s="309">
        <f>D19</f>
        <v>10</v>
      </c>
    </row>
    <row r="34" spans="1:5" ht="15.6" x14ac:dyDescent="0.35">
      <c r="A34" s="13" t="s">
        <v>74</v>
      </c>
      <c r="B34" s="14" t="s">
        <v>75</v>
      </c>
      <c r="C34" s="14" t="s">
        <v>76</v>
      </c>
      <c r="D34" s="15">
        <f>D44/5</f>
        <v>5.1501000000000001</v>
      </c>
    </row>
    <row r="35" spans="1:5" ht="15.6" x14ac:dyDescent="0.35">
      <c r="A35" s="29" t="s">
        <v>198</v>
      </c>
      <c r="B35" s="21" t="s">
        <v>59</v>
      </c>
      <c r="C35" s="22" t="s">
        <v>237</v>
      </c>
      <c r="D35" s="45">
        <v>2</v>
      </c>
    </row>
    <row r="36" spans="1:5" x14ac:dyDescent="0.3">
      <c r="A36" s="19"/>
      <c r="B36" s="14"/>
      <c r="C36" s="14"/>
      <c r="D36" s="15"/>
    </row>
    <row r="37" spans="1:5" ht="16.2" x14ac:dyDescent="0.3">
      <c r="A37" s="6" t="s">
        <v>199</v>
      </c>
      <c r="B37" s="57" t="s">
        <v>125</v>
      </c>
      <c r="C37" s="7" t="s">
        <v>200</v>
      </c>
      <c r="D37" s="61">
        <f>SUM(D4,D11,D18,D26,D32)/D9/D38</f>
        <v>1.1740412027462985E-7</v>
      </c>
    </row>
    <row r="38" spans="1:5" ht="16.2" x14ac:dyDescent="0.3">
      <c r="A38" s="82" t="s">
        <v>201</v>
      </c>
      <c r="B38" s="21" t="s">
        <v>35</v>
      </c>
      <c r="C38" s="21" t="s">
        <v>202</v>
      </c>
      <c r="D38" s="297">
        <f>D47*60*60</f>
        <v>31536000</v>
      </c>
      <c r="E38" s="258" t="s">
        <v>376</v>
      </c>
    </row>
    <row r="39" spans="1:5" x14ac:dyDescent="0.3">
      <c r="A39" s="16"/>
      <c r="B39" s="11"/>
      <c r="C39" s="11"/>
      <c r="D39" s="15"/>
    </row>
    <row r="40" spans="1:5" ht="16.2" x14ac:dyDescent="0.3">
      <c r="A40" s="19" t="s">
        <v>203</v>
      </c>
      <c r="B40" s="55" t="s">
        <v>123</v>
      </c>
      <c r="C40" s="14" t="s">
        <v>204</v>
      </c>
      <c r="D40" s="56">
        <f>D41*(EXP(((LN(D44)-D42)^2/D43)))</f>
        <v>7.2572998121063099</v>
      </c>
    </row>
    <row r="41" spans="1:5" ht="15.6" x14ac:dyDescent="0.3">
      <c r="A41" s="13" t="s">
        <v>205</v>
      </c>
      <c r="B41" s="14" t="s">
        <v>29</v>
      </c>
      <c r="C41" s="18" t="s">
        <v>237</v>
      </c>
      <c r="D41" s="15">
        <v>2.4538000000000002</v>
      </c>
    </row>
    <row r="42" spans="1:5" ht="15.6" x14ac:dyDescent="0.3">
      <c r="A42" s="13" t="s">
        <v>206</v>
      </c>
      <c r="B42" s="14" t="s">
        <v>30</v>
      </c>
      <c r="C42" s="18" t="s">
        <v>237</v>
      </c>
      <c r="D42" s="15">
        <v>17.565999999999999</v>
      </c>
    </row>
    <row r="43" spans="1:5" ht="15.6" x14ac:dyDescent="0.3">
      <c r="A43" s="13" t="s">
        <v>207</v>
      </c>
      <c r="B43" s="14" t="s">
        <v>31</v>
      </c>
      <c r="C43" s="18" t="s">
        <v>237</v>
      </c>
      <c r="D43" s="15">
        <v>189.04259999999999</v>
      </c>
    </row>
    <row r="44" spans="1:5" ht="15.6" x14ac:dyDescent="0.35">
      <c r="A44" s="13" t="s">
        <v>245</v>
      </c>
      <c r="B44" s="14" t="s">
        <v>246</v>
      </c>
      <c r="C44" s="14" t="s">
        <v>208</v>
      </c>
      <c r="D44" s="15">
        <f>Risk_Calculations!D57</f>
        <v>25.750499999999999</v>
      </c>
      <c r="E44" s="157" t="s">
        <v>23</v>
      </c>
    </row>
    <row r="45" spans="1:5" x14ac:dyDescent="0.3">
      <c r="A45" s="19"/>
      <c r="B45" s="14"/>
      <c r="C45" s="14"/>
      <c r="D45" s="15"/>
    </row>
    <row r="46" spans="1:5" ht="15.6" x14ac:dyDescent="0.3">
      <c r="A46" s="62" t="s">
        <v>209</v>
      </c>
      <c r="B46" s="55" t="s">
        <v>122</v>
      </c>
      <c r="C46" s="18" t="s">
        <v>237</v>
      </c>
      <c r="D46" s="298">
        <f>0.1852+(5.357/$D$47)+(-9.6318/($D$47^2))</f>
        <v>0.18581140416432101</v>
      </c>
    </row>
    <row r="47" spans="1:5" ht="16.2" thickBot="1" x14ac:dyDescent="0.4">
      <c r="A47" s="82" t="s">
        <v>109</v>
      </c>
      <c r="B47" s="14" t="s">
        <v>110</v>
      </c>
      <c r="C47" s="14" t="s">
        <v>111</v>
      </c>
      <c r="D47" s="299">
        <f>Risk_Calculations!$C62*8760</f>
        <v>8760</v>
      </c>
      <c r="E47" s="258" t="s">
        <v>389</v>
      </c>
    </row>
    <row r="48" spans="1:5" ht="16.8" thickTop="1" x14ac:dyDescent="0.3">
      <c r="A48" s="65" t="s">
        <v>210</v>
      </c>
      <c r="B48" s="66" t="s">
        <v>211</v>
      </c>
      <c r="C48" s="66" t="s">
        <v>87</v>
      </c>
      <c r="D48" s="67">
        <f>D40*(1/D46)*(1/D37)</f>
        <v>332674383.70743459</v>
      </c>
    </row>
    <row r="49" spans="1:4" x14ac:dyDescent="0.3">
      <c r="A49" s="6"/>
      <c r="B49" s="57"/>
      <c r="C49" s="57"/>
      <c r="D49" s="61"/>
    </row>
    <row r="50" spans="1:4" x14ac:dyDescent="0.3">
      <c r="A50" s="71" t="s">
        <v>88</v>
      </c>
      <c r="B50" s="72"/>
      <c r="C50" s="72"/>
      <c r="D50" s="73"/>
    </row>
    <row r="51" spans="1:4" ht="15.6" x14ac:dyDescent="0.3">
      <c r="A51" s="24" t="s">
        <v>89</v>
      </c>
      <c r="B51" s="25" t="s">
        <v>90</v>
      </c>
      <c r="C51" s="8" t="s">
        <v>57</v>
      </c>
      <c r="D51" s="12">
        <f>SQRT(D9)</f>
        <v>322.81925825452237</v>
      </c>
    </row>
    <row r="52" spans="1:4" ht="15.6" x14ac:dyDescent="0.3">
      <c r="A52" s="24" t="s">
        <v>91</v>
      </c>
      <c r="B52" s="25" t="s">
        <v>92</v>
      </c>
      <c r="C52" s="8" t="s">
        <v>57</v>
      </c>
      <c r="D52" s="12">
        <f>20*0.3048</f>
        <v>6.0960000000000001</v>
      </c>
    </row>
    <row r="53" spans="1:4" ht="15.6" x14ac:dyDescent="0.3">
      <c r="A53" s="24" t="s">
        <v>287</v>
      </c>
      <c r="B53" s="25" t="s">
        <v>93</v>
      </c>
      <c r="C53" s="8" t="s">
        <v>247</v>
      </c>
      <c r="D53" s="12">
        <f>D51*D52</f>
        <v>1967.9061983195684</v>
      </c>
    </row>
    <row r="54" spans="1:4" ht="15.6" x14ac:dyDescent="0.3">
      <c r="A54" s="13" t="s">
        <v>288</v>
      </c>
      <c r="B54" s="26" t="s">
        <v>62</v>
      </c>
      <c r="C54" s="25" t="s">
        <v>53</v>
      </c>
      <c r="D54" s="292">
        <v>10</v>
      </c>
    </row>
    <row r="55" spans="1:4" ht="15.6" x14ac:dyDescent="0.3">
      <c r="A55" s="27" t="s">
        <v>94</v>
      </c>
      <c r="B55" s="8" t="s">
        <v>95</v>
      </c>
      <c r="C55" s="8" t="s">
        <v>96</v>
      </c>
      <c r="D55" s="12">
        <v>8</v>
      </c>
    </row>
    <row r="56" spans="1:4" ht="15.6" x14ac:dyDescent="0.3">
      <c r="A56" s="24" t="s">
        <v>97</v>
      </c>
      <c r="B56" s="25" t="s">
        <v>171</v>
      </c>
      <c r="C56" s="25" t="s">
        <v>53</v>
      </c>
      <c r="D56" s="292">
        <v>0.2</v>
      </c>
    </row>
    <row r="57" spans="1:4" ht="15.6" x14ac:dyDescent="0.3">
      <c r="A57" s="27" t="s">
        <v>290</v>
      </c>
      <c r="B57" s="25" t="s">
        <v>98</v>
      </c>
      <c r="C57" s="8" t="s">
        <v>99</v>
      </c>
      <c r="D57" s="292">
        <v>27</v>
      </c>
    </row>
    <row r="58" spans="1:4" ht="15.6" x14ac:dyDescent="0.3">
      <c r="A58" s="27" t="s">
        <v>367</v>
      </c>
      <c r="B58" s="25" t="s">
        <v>368</v>
      </c>
      <c r="C58" s="8" t="s">
        <v>369</v>
      </c>
      <c r="D58" s="12">
        <v>30</v>
      </c>
    </row>
    <row r="59" spans="1:4" ht="15.6" x14ac:dyDescent="0.3">
      <c r="A59" s="27" t="s">
        <v>370</v>
      </c>
      <c r="B59" s="25" t="s">
        <v>371</v>
      </c>
      <c r="C59" s="8" t="s">
        <v>324</v>
      </c>
      <c r="D59" s="12">
        <f>D51</f>
        <v>322.81925825452237</v>
      </c>
    </row>
    <row r="60" spans="1:4" ht="15.6" x14ac:dyDescent="0.3">
      <c r="A60" s="24" t="s">
        <v>291</v>
      </c>
      <c r="B60" s="25" t="s">
        <v>10</v>
      </c>
      <c r="C60" s="25" t="s">
        <v>67</v>
      </c>
      <c r="D60" s="12">
        <f>D58*(D51)*((52/2)*5)/1000</f>
        <v>1258.9951071926371</v>
      </c>
    </row>
    <row r="61" spans="1:4" x14ac:dyDescent="0.3">
      <c r="A61" s="24"/>
      <c r="B61" s="8"/>
      <c r="C61" s="8"/>
      <c r="D61" s="12"/>
    </row>
    <row r="62" spans="1:4" ht="15.6" x14ac:dyDescent="0.3">
      <c r="A62" s="28" t="s">
        <v>11</v>
      </c>
      <c r="B62" s="25" t="s">
        <v>12</v>
      </c>
      <c r="C62" s="25" t="s">
        <v>204</v>
      </c>
      <c r="D62" s="12">
        <f>D63*(EXP(((LN(D44)-D64)^2/D65)))</f>
        <v>14.102061569449729</v>
      </c>
    </row>
    <row r="63" spans="1:4" ht="15.6" x14ac:dyDescent="0.3">
      <c r="A63" s="13" t="s">
        <v>205</v>
      </c>
      <c r="B63" s="25" t="s">
        <v>29</v>
      </c>
      <c r="C63" s="25"/>
      <c r="D63" s="12">
        <v>12.9351</v>
      </c>
    </row>
    <row r="64" spans="1:4" ht="15.6" x14ac:dyDescent="0.3">
      <c r="A64" s="13" t="s">
        <v>206</v>
      </c>
      <c r="B64" s="25" t="s">
        <v>30</v>
      </c>
      <c r="C64" s="25"/>
      <c r="D64" s="12">
        <v>5.7382999999999997</v>
      </c>
    </row>
    <row r="65" spans="1:5" ht="16.2" thickBot="1" x14ac:dyDescent="0.35">
      <c r="A65" s="13" t="s">
        <v>207</v>
      </c>
      <c r="B65" s="25" t="s">
        <v>31</v>
      </c>
      <c r="C65" s="25"/>
      <c r="D65" s="12">
        <v>71.771100000000004</v>
      </c>
    </row>
    <row r="66" spans="1:5" ht="16.2" thickTop="1" x14ac:dyDescent="0.3">
      <c r="A66" s="68" t="s">
        <v>13</v>
      </c>
      <c r="B66" s="69" t="s">
        <v>14</v>
      </c>
      <c r="C66" s="69" t="s">
        <v>87</v>
      </c>
      <c r="D66" s="70">
        <f>D62*(1/D46)*((D38*D53)/(((2.6*((D54/12)^0.8)*((D55/3)^0.4))/((D56/0.2)^0.3))*((365-D57)/365)*281.9*D60))</f>
        <v>4307868.5589761203</v>
      </c>
    </row>
    <row r="67" spans="1:5" x14ac:dyDescent="0.3">
      <c r="A67" s="27"/>
      <c r="B67" s="8"/>
      <c r="C67" s="8"/>
      <c r="D67" s="47"/>
    </row>
    <row r="68" spans="1:5" ht="15.6" x14ac:dyDescent="0.3">
      <c r="A68" s="83" t="s">
        <v>223</v>
      </c>
      <c r="B68" s="84" t="s">
        <v>224</v>
      </c>
      <c r="C68" s="84" t="s">
        <v>87</v>
      </c>
      <c r="D68" s="85">
        <f>1/((1/D66)+(1/D48))</f>
        <v>4252798.2061708821</v>
      </c>
    </row>
    <row r="69" spans="1:5" ht="15.6" x14ac:dyDescent="0.3">
      <c r="A69" s="86" t="s">
        <v>221</v>
      </c>
      <c r="B69" s="87" t="s">
        <v>102</v>
      </c>
      <c r="C69" s="87" t="s">
        <v>222</v>
      </c>
      <c r="D69" s="88">
        <f>1/D68</f>
        <v>2.3513930158947657E-7</v>
      </c>
      <c r="E69" s="133"/>
    </row>
    <row r="70" spans="1:5" x14ac:dyDescent="0.3">
      <c r="A70" s="32" t="s">
        <v>218</v>
      </c>
      <c r="B70" s="8"/>
      <c r="C70" s="8"/>
      <c r="D70" s="7"/>
    </row>
    <row r="71" spans="1:5" x14ac:dyDescent="0.3">
      <c r="A71" s="33" t="s">
        <v>104</v>
      </c>
      <c r="B71" s="8"/>
      <c r="C71" s="8"/>
      <c r="D71" s="7"/>
    </row>
    <row r="72" spans="1:5" ht="16.2" x14ac:dyDescent="0.35">
      <c r="A72" s="33" t="s">
        <v>213</v>
      </c>
      <c r="B72" s="8"/>
      <c r="C72" s="8"/>
      <c r="D72" s="7"/>
    </row>
    <row r="73" spans="1:5" ht="15" x14ac:dyDescent="0.3">
      <c r="A73" s="32" t="s">
        <v>219</v>
      </c>
      <c r="B73" s="34"/>
      <c r="C73" s="35"/>
      <c r="D73" s="48"/>
    </row>
    <row r="74" spans="1:5" x14ac:dyDescent="0.3">
      <c r="A74" s="130" t="s">
        <v>220</v>
      </c>
      <c r="B74" s="36"/>
      <c r="C74" s="37"/>
      <c r="D74" s="49"/>
    </row>
    <row r="75" spans="1:5" x14ac:dyDescent="0.3">
      <c r="A75" s="129" t="s">
        <v>50</v>
      </c>
      <c r="B75" s="36"/>
      <c r="C75" s="37"/>
      <c r="D75" s="49"/>
    </row>
    <row r="76" spans="1:5" ht="15" x14ac:dyDescent="0.3">
      <c r="A76" s="129" t="s">
        <v>103</v>
      </c>
      <c r="B76" s="34"/>
      <c r="C76" s="35"/>
      <c r="D76" s="48"/>
    </row>
    <row r="77" spans="1:5" ht="16.2" x14ac:dyDescent="0.35">
      <c r="A77" s="32" t="s">
        <v>313</v>
      </c>
      <c r="B77" s="8"/>
      <c r="C77" s="8"/>
      <c r="D77" s="7"/>
    </row>
    <row r="78" spans="1:5" x14ac:dyDescent="0.3">
      <c r="A78" s="131" t="s">
        <v>48</v>
      </c>
      <c r="B78" s="8"/>
      <c r="C78" s="8"/>
      <c r="D78" s="7"/>
    </row>
    <row r="79" spans="1:5" x14ac:dyDescent="0.3">
      <c r="A79" s="131" t="s">
        <v>49</v>
      </c>
      <c r="B79" s="8"/>
      <c r="C79" s="8"/>
      <c r="D79" s="7"/>
    </row>
    <row r="80" spans="1:5" x14ac:dyDescent="0.3">
      <c r="A80" s="32" t="s">
        <v>217</v>
      </c>
      <c r="B80" s="8"/>
      <c r="C80" s="8"/>
      <c r="D80" s="7"/>
    </row>
    <row r="81" spans="1:4" ht="16.2" x14ac:dyDescent="0.35">
      <c r="A81" s="32" t="s">
        <v>230</v>
      </c>
      <c r="B81" s="8"/>
      <c r="C81" s="8"/>
      <c r="D81" s="7"/>
    </row>
    <row r="82" spans="1:4" ht="16.2" x14ac:dyDescent="0.35">
      <c r="A82" s="32" t="s">
        <v>231</v>
      </c>
      <c r="B82" s="8"/>
      <c r="C82" s="8"/>
      <c r="D82" s="7"/>
    </row>
    <row r="83" spans="1:4" ht="16.2" x14ac:dyDescent="0.35">
      <c r="A83" s="32" t="s">
        <v>232</v>
      </c>
      <c r="B83" s="8"/>
      <c r="C83" s="8"/>
      <c r="D83" s="7"/>
    </row>
    <row r="84" spans="1:4" ht="16.2" x14ac:dyDescent="0.35">
      <c r="A84" s="32" t="s">
        <v>233</v>
      </c>
      <c r="B84" s="8"/>
      <c r="C84" s="8"/>
      <c r="D84" s="7"/>
    </row>
    <row r="85" spans="1:4" ht="15" x14ac:dyDescent="0.35">
      <c r="A85" s="32" t="s">
        <v>163</v>
      </c>
      <c r="B85" s="8"/>
      <c r="C85" s="8"/>
      <c r="D85" s="7"/>
    </row>
    <row r="86" spans="1:4" ht="16.2" x14ac:dyDescent="0.35">
      <c r="A86" s="32" t="s">
        <v>234</v>
      </c>
      <c r="B86" s="8"/>
      <c r="C86" s="8"/>
      <c r="D86" s="50"/>
    </row>
    <row r="87" spans="1:4" ht="16.2" x14ac:dyDescent="0.35">
      <c r="A87" s="32" t="s">
        <v>258</v>
      </c>
      <c r="B87" s="8"/>
      <c r="C87" s="8"/>
      <c r="D87" s="7"/>
    </row>
    <row r="88" spans="1:4" ht="15" x14ac:dyDescent="0.35">
      <c r="A88" s="32" t="s">
        <v>338</v>
      </c>
      <c r="B88" s="8"/>
      <c r="C88" s="8"/>
      <c r="D88" s="7"/>
    </row>
    <row r="89" spans="1:4" x14ac:dyDescent="0.3">
      <c r="A89" s="32" t="s">
        <v>265</v>
      </c>
      <c r="B89" s="8"/>
      <c r="C89" s="8"/>
      <c r="D89" s="7"/>
    </row>
    <row r="90" spans="1:4" ht="15" x14ac:dyDescent="0.35">
      <c r="A90" s="32" t="s">
        <v>378</v>
      </c>
      <c r="B90" s="8"/>
      <c r="C90" s="8"/>
      <c r="D90" s="7"/>
    </row>
    <row r="91" spans="1:4" x14ac:dyDescent="0.3">
      <c r="A91" s="38" t="s">
        <v>215</v>
      </c>
      <c r="B91" s="8"/>
      <c r="C91" s="8"/>
      <c r="D91" s="7"/>
    </row>
    <row r="92" spans="1:4" ht="15" x14ac:dyDescent="0.35">
      <c r="A92" s="32" t="s">
        <v>266</v>
      </c>
      <c r="B92" s="8"/>
      <c r="C92" s="8"/>
      <c r="D92" s="7"/>
    </row>
    <row r="93" spans="1:4" ht="16.2" x14ac:dyDescent="0.35">
      <c r="A93" s="32" t="s">
        <v>267</v>
      </c>
      <c r="B93" s="8"/>
      <c r="C93" s="8"/>
      <c r="D93" s="7"/>
    </row>
    <row r="94" spans="1:4" ht="15" x14ac:dyDescent="0.35">
      <c r="A94" s="39" t="s">
        <v>268</v>
      </c>
      <c r="B94" s="8"/>
      <c r="C94" s="8"/>
      <c r="D94" s="7"/>
    </row>
    <row r="95" spans="1:4" ht="16.8" x14ac:dyDescent="0.35">
      <c r="A95" s="40" t="s">
        <v>117</v>
      </c>
      <c r="B95" s="41"/>
      <c r="C95" s="41"/>
      <c r="D95" s="51"/>
    </row>
    <row r="96" spans="1:4" ht="16.8" x14ac:dyDescent="0.35">
      <c r="A96" s="32" t="s">
        <v>118</v>
      </c>
      <c r="B96" s="41"/>
      <c r="C96" s="41"/>
      <c r="D96" s="51"/>
    </row>
    <row r="97" spans="1:4" ht="15" x14ac:dyDescent="0.35">
      <c r="A97" s="32" t="s">
        <v>328</v>
      </c>
      <c r="B97" s="8"/>
      <c r="C97" s="8"/>
      <c r="D97" s="7"/>
    </row>
  </sheetData>
  <mergeCells count="1">
    <mergeCell ref="A1:F1"/>
  </mergeCells>
  <phoneticPr fontId="65" type="noConversion"/>
  <pageMargins left="0.7" right="0.7" top="0.75" bottom="0.75" header="0.3" footer="0.3"/>
  <pageSetup orientation="portrait" r:id="rId1"/>
  <legacyDrawing r:id="rId2"/>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77"/>
  <sheetViews>
    <sheetView zoomScale="120" zoomScaleNormal="120" workbookViewId="0">
      <selection activeCell="A17" sqref="A17"/>
    </sheetView>
  </sheetViews>
  <sheetFormatPr defaultColWidth="11.44140625" defaultRowHeight="14.4" x14ac:dyDescent="0.3"/>
  <cols>
    <col min="1" max="1" width="72.6640625" customWidth="1"/>
    <col min="2" max="2" width="8.44140625" bestFit="1" customWidth="1"/>
    <col min="3" max="3" width="16.33203125" bestFit="1" customWidth="1"/>
    <col min="4" max="4" width="9.33203125" style="52" customWidth="1"/>
    <col min="5" max="5" width="46.109375" style="52" bestFit="1" customWidth="1"/>
    <col min="6" max="6" width="7" style="52" bestFit="1" customWidth="1"/>
    <col min="7" max="7" width="8.44140625" bestFit="1" customWidth="1"/>
    <col min="8" max="8" width="15" bestFit="1" customWidth="1"/>
  </cols>
  <sheetData>
    <row r="1" spans="1:8" ht="18" x14ac:dyDescent="0.35">
      <c r="A1" s="349" t="s">
        <v>226</v>
      </c>
      <c r="B1" s="349"/>
      <c r="C1" s="349"/>
      <c r="D1" s="349"/>
      <c r="E1" s="349"/>
      <c r="F1" s="349"/>
      <c r="G1" s="349"/>
    </row>
    <row r="2" spans="1:8" x14ac:dyDescent="0.3">
      <c r="A2" s="89" t="s">
        <v>33</v>
      </c>
      <c r="B2" s="23" t="s">
        <v>36</v>
      </c>
      <c r="C2" s="23" t="s">
        <v>32</v>
      </c>
      <c r="D2" s="76" t="s">
        <v>34</v>
      </c>
      <c r="E2" s="76"/>
      <c r="F2" s="76"/>
      <c r="G2" s="77"/>
    </row>
    <row r="3" spans="1:8" x14ac:dyDescent="0.3">
      <c r="A3" s="74" t="s">
        <v>37</v>
      </c>
      <c r="B3" s="75"/>
      <c r="C3" s="75"/>
      <c r="D3" s="73"/>
      <c r="E3" s="73"/>
      <c r="F3" s="73"/>
      <c r="G3" s="78"/>
    </row>
    <row r="4" spans="1:8" ht="16.2" x14ac:dyDescent="0.3">
      <c r="A4" s="6" t="s">
        <v>38</v>
      </c>
      <c r="B4" s="57" t="s">
        <v>131</v>
      </c>
      <c r="C4" s="59" t="s">
        <v>40</v>
      </c>
      <c r="D4" s="197">
        <f>(0.036*(1-D5)*((D6/D7)^3)*D8*D9*D10*8760)</f>
        <v>302914.95627065096</v>
      </c>
      <c r="E4" s="6" t="s">
        <v>294</v>
      </c>
      <c r="F4" s="60" t="s">
        <v>132</v>
      </c>
      <c r="G4" s="64">
        <f>(0.036*(1-G5)*((D6/D7)^3)*D8*D9*(G10-1)*8760)</f>
        <v>3634979.475247812</v>
      </c>
    </row>
    <row r="5" spans="1:8" ht="16.8" x14ac:dyDescent="0.35">
      <c r="A5" s="9" t="s">
        <v>235</v>
      </c>
      <c r="B5" s="7" t="s">
        <v>236</v>
      </c>
      <c r="C5" s="10" t="s">
        <v>237</v>
      </c>
      <c r="D5" s="44">
        <v>0</v>
      </c>
      <c r="E5" s="44"/>
      <c r="F5" s="44" t="s">
        <v>120</v>
      </c>
      <c r="G5">
        <v>0.5</v>
      </c>
      <c r="H5" s="157" t="s">
        <v>293</v>
      </c>
    </row>
    <row r="6" spans="1:8" ht="16.8" x14ac:dyDescent="0.35">
      <c r="A6" s="9" t="s">
        <v>238</v>
      </c>
      <c r="B6" s="11" t="s">
        <v>239</v>
      </c>
      <c r="C6" s="11" t="s">
        <v>240</v>
      </c>
      <c r="D6" s="292">
        <v>4.0999999999999996</v>
      </c>
      <c r="E6" s="12"/>
      <c r="F6" s="12"/>
    </row>
    <row r="7" spans="1:8" ht="16.8" x14ac:dyDescent="0.35">
      <c r="A7" s="9" t="s">
        <v>241</v>
      </c>
      <c r="B7" s="7" t="s">
        <v>242</v>
      </c>
      <c r="C7" s="8" t="s">
        <v>240</v>
      </c>
      <c r="D7" s="44">
        <v>11.32</v>
      </c>
      <c r="E7" s="44"/>
      <c r="F7" s="44"/>
    </row>
    <row r="8" spans="1:8" ht="16.8" x14ac:dyDescent="0.35">
      <c r="A8" s="9" t="s">
        <v>243</v>
      </c>
      <c r="B8" s="7" t="s">
        <v>244</v>
      </c>
      <c r="C8" s="10" t="s">
        <v>237</v>
      </c>
      <c r="D8" s="44">
        <v>0.19400000000000001</v>
      </c>
      <c r="E8" s="44"/>
      <c r="F8" s="44"/>
    </row>
    <row r="9" spans="1:8" ht="16.8" x14ac:dyDescent="0.35">
      <c r="A9" s="13" t="s">
        <v>245</v>
      </c>
      <c r="B9" s="14" t="s">
        <v>246</v>
      </c>
      <c r="C9" s="14" t="s">
        <v>247</v>
      </c>
      <c r="D9" s="15">
        <f>D51*4046.825</f>
        <v>104207.76716249999</v>
      </c>
      <c r="E9" s="15"/>
      <c r="F9" s="15"/>
    </row>
    <row r="10" spans="1:8" ht="16.8" x14ac:dyDescent="0.35">
      <c r="A10" s="79" t="s">
        <v>248</v>
      </c>
      <c r="B10" s="80" t="s">
        <v>249</v>
      </c>
      <c r="C10" s="31" t="s">
        <v>250</v>
      </c>
      <c r="D10" s="257">
        <f>Risk_Calculations!C62</f>
        <v>1</v>
      </c>
      <c r="E10" s="81"/>
      <c r="F10" s="81" t="s">
        <v>119</v>
      </c>
      <c r="G10" s="288">
        <f>Risk_Calculations!D62-$D$10</f>
        <v>25</v>
      </c>
      <c r="H10" s="242" t="s">
        <v>81</v>
      </c>
    </row>
    <row r="11" spans="1:8" x14ac:dyDescent="0.3">
      <c r="A11" s="9"/>
      <c r="B11" s="7"/>
      <c r="C11" s="8"/>
      <c r="D11" s="44"/>
      <c r="E11" s="44"/>
      <c r="F11" s="44"/>
    </row>
    <row r="12" spans="1:8" ht="16.2" x14ac:dyDescent="0.3">
      <c r="A12" s="6" t="s">
        <v>363</v>
      </c>
      <c r="B12" s="57" t="s">
        <v>130</v>
      </c>
      <c r="C12" s="55" t="s">
        <v>40</v>
      </c>
      <c r="D12" s="198">
        <f>0.35*0.0016*(((D6/2.2)^1.3)/((D14/2)^1.4))*D13*D15*D16*D17*1000</f>
        <v>5950.2448397167973</v>
      </c>
      <c r="E12" s="200"/>
      <c r="F12" s="15"/>
    </row>
    <row r="13" spans="1:8" ht="16.8" x14ac:dyDescent="0.35">
      <c r="A13" s="16" t="s">
        <v>364</v>
      </c>
      <c r="B13" s="17" t="s">
        <v>169</v>
      </c>
      <c r="C13" s="14" t="s">
        <v>170</v>
      </c>
      <c r="D13" s="309">
        <v>1.87</v>
      </c>
      <c r="E13" s="15"/>
      <c r="F13" s="15"/>
    </row>
    <row r="14" spans="1:8" ht="16.2" x14ac:dyDescent="0.3">
      <c r="A14" s="16" t="s">
        <v>283</v>
      </c>
      <c r="B14" s="14" t="s">
        <v>171</v>
      </c>
      <c r="C14" s="14" t="s">
        <v>53</v>
      </c>
      <c r="D14" s="309">
        <v>14.8</v>
      </c>
      <c r="E14" s="15"/>
      <c r="F14" s="15"/>
    </row>
    <row r="15" spans="1:8" ht="18" x14ac:dyDescent="0.35">
      <c r="A15" s="13" t="s">
        <v>54</v>
      </c>
      <c r="B15" s="14" t="s">
        <v>55</v>
      </c>
      <c r="C15" s="14" t="s">
        <v>247</v>
      </c>
      <c r="D15" s="15">
        <f>D9/5</f>
        <v>20841.553432499997</v>
      </c>
      <c r="E15" s="15"/>
      <c r="F15" s="15"/>
    </row>
    <row r="16" spans="1:8" ht="15.6" x14ac:dyDescent="0.35">
      <c r="A16" s="13" t="s">
        <v>281</v>
      </c>
      <c r="B16" s="14" t="s">
        <v>56</v>
      </c>
      <c r="C16" s="14" t="s">
        <v>57</v>
      </c>
      <c r="D16" s="15">
        <v>1</v>
      </c>
      <c r="E16" s="15"/>
      <c r="F16" s="15"/>
    </row>
    <row r="17" spans="1:6" ht="18" x14ac:dyDescent="0.35">
      <c r="A17" s="29" t="s">
        <v>58</v>
      </c>
      <c r="B17" s="21" t="s">
        <v>59</v>
      </c>
      <c r="C17" s="22" t="s">
        <v>237</v>
      </c>
      <c r="D17" s="45">
        <v>2</v>
      </c>
      <c r="E17" s="15"/>
      <c r="F17" s="15"/>
    </row>
    <row r="18" spans="1:6" x14ac:dyDescent="0.3">
      <c r="A18" s="16"/>
      <c r="B18" s="14"/>
      <c r="C18" s="14"/>
      <c r="D18" s="199"/>
      <c r="E18" s="15"/>
      <c r="F18" s="15"/>
    </row>
    <row r="19" spans="1:6" ht="16.2" x14ac:dyDescent="0.3">
      <c r="A19" s="19" t="s">
        <v>60</v>
      </c>
      <c r="B19" s="57" t="s">
        <v>129</v>
      </c>
      <c r="C19" s="55" t="s">
        <v>40</v>
      </c>
      <c r="D19" s="198">
        <f>0.75*(0.45*(D20^1.5)/(D21^1.4))*(D23/D22)*1000</f>
        <v>2758.2526437723941</v>
      </c>
      <c r="E19" s="61"/>
      <c r="F19" s="15"/>
    </row>
    <row r="20" spans="1:6" ht="16.2" x14ac:dyDescent="0.3">
      <c r="A20" s="9" t="s">
        <v>282</v>
      </c>
      <c r="B20" s="20" t="s">
        <v>62</v>
      </c>
      <c r="C20" s="14" t="s">
        <v>53</v>
      </c>
      <c r="D20" s="311">
        <v>10</v>
      </c>
      <c r="E20" s="15"/>
      <c r="F20" s="15"/>
    </row>
    <row r="21" spans="1:6" ht="16.2" x14ac:dyDescent="0.3">
      <c r="A21" s="16" t="s">
        <v>283</v>
      </c>
      <c r="B21" s="14" t="s">
        <v>171</v>
      </c>
      <c r="C21" s="14" t="s">
        <v>53</v>
      </c>
      <c r="D21" s="309">
        <f>D14</f>
        <v>14.8</v>
      </c>
      <c r="E21" s="15"/>
      <c r="F21" s="15"/>
    </row>
    <row r="22" spans="1:6" ht="16.8" x14ac:dyDescent="0.35">
      <c r="A22" s="16" t="s">
        <v>284</v>
      </c>
      <c r="B22" s="14" t="s">
        <v>63</v>
      </c>
      <c r="C22" s="14" t="s">
        <v>64</v>
      </c>
      <c r="D22" s="15">
        <v>11.4</v>
      </c>
      <c r="E22" s="15"/>
      <c r="F22" s="15"/>
    </row>
    <row r="23" spans="1:6" ht="16.8" x14ac:dyDescent="0.35">
      <c r="A23" s="82" t="s">
        <v>65</v>
      </c>
      <c r="B23" s="21" t="s">
        <v>66</v>
      </c>
      <c r="C23" s="21" t="s">
        <v>67</v>
      </c>
      <c r="D23" s="45">
        <f>(SQRT(D9)/2.44)*SQRT(D9)*3/1000</f>
        <v>128.12430388831964</v>
      </c>
      <c r="E23" s="15"/>
      <c r="F23" s="15"/>
    </row>
    <row r="24" spans="1:6" x14ac:dyDescent="0.3">
      <c r="A24" s="16"/>
      <c r="B24" s="14"/>
      <c r="C24" s="14"/>
      <c r="D24" s="15"/>
      <c r="E24" s="15"/>
      <c r="F24" s="15"/>
    </row>
    <row r="25" spans="1:6" ht="16.2" x14ac:dyDescent="0.3">
      <c r="A25" s="19" t="s">
        <v>68</v>
      </c>
      <c r="B25" s="57" t="s">
        <v>128</v>
      </c>
      <c r="C25" s="55" t="s">
        <v>40</v>
      </c>
      <c r="D25" s="198">
        <f>0.6*0.0056*(D26^2)*D27*1000</f>
        <v>55947.476031975428</v>
      </c>
      <c r="E25" s="61"/>
      <c r="F25" s="15"/>
    </row>
    <row r="26" spans="1:6" ht="16.8" x14ac:dyDescent="0.35">
      <c r="A26" s="16" t="s">
        <v>285</v>
      </c>
      <c r="B26" s="14" t="s">
        <v>70</v>
      </c>
      <c r="C26" s="14" t="s">
        <v>64</v>
      </c>
      <c r="D26" s="15">
        <v>11.4</v>
      </c>
      <c r="E26" s="15"/>
      <c r="F26" s="15"/>
    </row>
    <row r="27" spans="1:6" ht="16.8" x14ac:dyDescent="0.35">
      <c r="A27" s="82" t="s">
        <v>286</v>
      </c>
      <c r="B27" s="21" t="s">
        <v>71</v>
      </c>
      <c r="C27" s="21" t="s">
        <v>67</v>
      </c>
      <c r="D27" s="45">
        <f>(SQRT(D9)/2.44)*SQRT(D9)*3/1000</f>
        <v>128.12430388831964</v>
      </c>
      <c r="E27" s="15"/>
      <c r="F27" s="15"/>
    </row>
    <row r="28" spans="1:6" x14ac:dyDescent="0.3">
      <c r="A28" s="16"/>
      <c r="B28" s="14"/>
      <c r="C28" s="14"/>
      <c r="D28" s="15"/>
      <c r="E28" s="15"/>
      <c r="F28" s="15"/>
    </row>
    <row r="29" spans="1:6" ht="16.2" x14ac:dyDescent="0.3">
      <c r="A29" s="19" t="s">
        <v>72</v>
      </c>
      <c r="B29" s="57" t="s">
        <v>127</v>
      </c>
      <c r="C29" s="55" t="s">
        <v>40</v>
      </c>
      <c r="D29" s="198">
        <f>1.1*(D30^0.6)*D31*4047*0.0001*1000*D32</f>
        <v>18254.567469614172</v>
      </c>
      <c r="E29" s="61"/>
      <c r="F29" s="15"/>
    </row>
    <row r="30" spans="1:6" ht="16.2" x14ac:dyDescent="0.3">
      <c r="A30" s="9" t="s">
        <v>282</v>
      </c>
      <c r="B30" s="20" t="s">
        <v>62</v>
      </c>
      <c r="C30" s="14" t="s">
        <v>53</v>
      </c>
      <c r="D30" s="292">
        <f>D20</f>
        <v>10</v>
      </c>
      <c r="E30" s="15"/>
      <c r="F30" s="15"/>
    </row>
    <row r="31" spans="1:6" ht="15.6" x14ac:dyDescent="0.35">
      <c r="A31" s="13" t="s">
        <v>74</v>
      </c>
      <c r="B31" s="14" t="s">
        <v>75</v>
      </c>
      <c r="C31" s="14" t="s">
        <v>76</v>
      </c>
      <c r="D31" s="15">
        <f>D51/5</f>
        <v>5.1501000000000001</v>
      </c>
      <c r="E31" s="15"/>
      <c r="F31" s="15"/>
    </row>
    <row r="32" spans="1:6" ht="15.6" x14ac:dyDescent="0.35">
      <c r="A32" s="13" t="s">
        <v>198</v>
      </c>
      <c r="B32" s="14" t="s">
        <v>59</v>
      </c>
      <c r="C32" s="18" t="s">
        <v>237</v>
      </c>
      <c r="D32" s="15">
        <v>2</v>
      </c>
      <c r="E32" s="15"/>
      <c r="F32" s="15"/>
    </row>
    <row r="33" spans="1:6" x14ac:dyDescent="0.3">
      <c r="F33" s="15"/>
    </row>
    <row r="34" spans="1:6" x14ac:dyDescent="0.3">
      <c r="A34" s="71" t="s">
        <v>88</v>
      </c>
      <c r="B34" s="72"/>
      <c r="C34" s="72"/>
      <c r="D34" s="73"/>
      <c r="E34" s="158"/>
      <c r="F34" s="15"/>
    </row>
    <row r="35" spans="1:6" ht="15.6" x14ac:dyDescent="0.3">
      <c r="A35" s="28" t="s">
        <v>393</v>
      </c>
      <c r="B35" s="58" t="s">
        <v>126</v>
      </c>
      <c r="C35" s="58" t="s">
        <v>40</v>
      </c>
      <c r="D35" s="63">
        <f>((2.6*((D38/12)^0.8)*((D39/3)^0.4))/((D40/0.2)^0.3))*((365-D41)/365)*281.9*D43</f>
        <v>597352.97227777878</v>
      </c>
      <c r="E35" s="202"/>
      <c r="F35" s="12"/>
    </row>
    <row r="36" spans="1:6" ht="15.6" x14ac:dyDescent="0.3">
      <c r="A36" s="24" t="s">
        <v>304</v>
      </c>
      <c r="B36" s="25" t="s">
        <v>90</v>
      </c>
      <c r="C36" s="8" t="s">
        <v>57</v>
      </c>
      <c r="D36" s="12">
        <f>SQRT(D9)</f>
        <v>322.81227851880107</v>
      </c>
      <c r="E36" s="12"/>
      <c r="F36" s="12"/>
    </row>
    <row r="37" spans="1:6" ht="15.6" x14ac:dyDescent="0.3">
      <c r="A37" s="24" t="s">
        <v>91</v>
      </c>
      <c r="B37" s="25" t="s">
        <v>92</v>
      </c>
      <c r="C37" s="8" t="s">
        <v>57</v>
      </c>
      <c r="D37" s="12">
        <f>20*0.3048</f>
        <v>6.0960000000000001</v>
      </c>
      <c r="E37" s="12"/>
      <c r="F37" s="12"/>
    </row>
    <row r="38" spans="1:6" ht="15.6" x14ac:dyDescent="0.3">
      <c r="A38" s="13" t="s">
        <v>379</v>
      </c>
      <c r="B38" s="26" t="s">
        <v>62</v>
      </c>
      <c r="C38" s="25" t="s">
        <v>53</v>
      </c>
      <c r="D38" s="292">
        <f>D30</f>
        <v>10</v>
      </c>
      <c r="E38" s="12"/>
      <c r="F38" s="12"/>
    </row>
    <row r="39" spans="1:6" ht="15.6" x14ac:dyDescent="0.3">
      <c r="A39" s="27" t="s">
        <v>94</v>
      </c>
      <c r="B39" s="8" t="s">
        <v>95</v>
      </c>
      <c r="C39" s="8" t="s">
        <v>96</v>
      </c>
      <c r="D39" s="12">
        <v>8</v>
      </c>
      <c r="E39" s="12"/>
      <c r="F39" s="12"/>
    </row>
    <row r="40" spans="1:6" ht="15.6" x14ac:dyDescent="0.3">
      <c r="A40" s="24" t="s">
        <v>380</v>
      </c>
      <c r="B40" s="25" t="s">
        <v>289</v>
      </c>
      <c r="C40" s="25" t="s">
        <v>53</v>
      </c>
      <c r="D40" s="12">
        <v>1.5</v>
      </c>
      <c r="E40" s="12"/>
      <c r="F40" s="12"/>
    </row>
    <row r="41" spans="1:6" ht="15.6" x14ac:dyDescent="0.3">
      <c r="A41" s="27" t="s">
        <v>290</v>
      </c>
      <c r="B41" s="25" t="s">
        <v>98</v>
      </c>
      <c r="C41" s="8" t="s">
        <v>99</v>
      </c>
      <c r="D41" s="292">
        <v>27</v>
      </c>
      <c r="E41" s="12"/>
      <c r="F41" s="12"/>
    </row>
    <row r="42" spans="1:6" ht="15.6" x14ac:dyDescent="0.3">
      <c r="A42" s="27" t="s">
        <v>367</v>
      </c>
      <c r="B42" s="25" t="s">
        <v>368</v>
      </c>
      <c r="C42" s="8" t="s">
        <v>369</v>
      </c>
      <c r="D42" s="12">
        <v>30</v>
      </c>
      <c r="E42" s="12"/>
      <c r="F42" s="12"/>
    </row>
    <row r="43" spans="1:6" ht="15.6" x14ac:dyDescent="0.3">
      <c r="A43" s="203" t="s">
        <v>303</v>
      </c>
      <c r="B43" s="30" t="s">
        <v>10</v>
      </c>
      <c r="C43" s="30" t="s">
        <v>67</v>
      </c>
      <c r="D43" s="46">
        <f>D42*(D36)*((52/2)*5)/1000</f>
        <v>1258.9678862233243</v>
      </c>
      <c r="E43" s="12"/>
      <c r="F43" s="12"/>
    </row>
    <row r="44" spans="1:6" x14ac:dyDescent="0.3">
      <c r="A44" s="16"/>
      <c r="B44" s="11"/>
      <c r="C44" s="11"/>
      <c r="D44" s="15"/>
      <c r="E44" s="15"/>
      <c r="F44" s="15"/>
    </row>
    <row r="45" spans="1:6" ht="16.2" x14ac:dyDescent="0.3">
      <c r="A45" s="6" t="s">
        <v>292</v>
      </c>
      <c r="B45" s="57" t="s">
        <v>253</v>
      </c>
      <c r="C45" s="57" t="s">
        <v>200</v>
      </c>
      <c r="D45" s="61">
        <f>SUM(D35,D4,D12,D19,D25,D29,G4)/(G10*D9*31563000)</f>
        <v>5.6163014175263269E-8</v>
      </c>
      <c r="E45" s="61"/>
      <c r="F45" s="15"/>
    </row>
    <row r="46" spans="1:6" x14ac:dyDescent="0.3">
      <c r="A46" s="16"/>
      <c r="B46" s="11"/>
      <c r="C46" s="11"/>
      <c r="D46" s="15"/>
      <c r="E46" s="15"/>
      <c r="F46" s="15"/>
    </row>
    <row r="47" spans="1:6" ht="16.2" x14ac:dyDescent="0.3">
      <c r="A47" s="19" t="s">
        <v>121</v>
      </c>
      <c r="B47" s="55" t="s">
        <v>252</v>
      </c>
      <c r="C47" s="55" t="s">
        <v>124</v>
      </c>
      <c r="D47" s="56">
        <f>D48*(EXP(((LN(D51)-D49)^2/D50)))</f>
        <v>56.356067119218245</v>
      </c>
      <c r="E47" s="56"/>
      <c r="F47" s="15"/>
    </row>
    <row r="48" spans="1:6" ht="15.6" x14ac:dyDescent="0.3">
      <c r="A48" s="13" t="s">
        <v>205</v>
      </c>
      <c r="B48" s="14" t="s">
        <v>29</v>
      </c>
      <c r="C48" s="18" t="s">
        <v>237</v>
      </c>
      <c r="D48" s="15">
        <v>12.1784</v>
      </c>
      <c r="E48" s="135" t="s">
        <v>319</v>
      </c>
      <c r="F48" s="15"/>
    </row>
    <row r="49" spans="1:6" ht="15.6" x14ac:dyDescent="0.3">
      <c r="A49" s="13" t="s">
        <v>206</v>
      </c>
      <c r="B49" s="14" t="s">
        <v>30</v>
      </c>
      <c r="C49" s="18" t="s">
        <v>237</v>
      </c>
      <c r="D49" s="15">
        <v>24.560600000000001</v>
      </c>
      <c r="E49" s="135" t="s">
        <v>319</v>
      </c>
      <c r="F49" s="47"/>
    </row>
    <row r="50" spans="1:6" ht="15.6" x14ac:dyDescent="0.3">
      <c r="A50" s="13" t="s">
        <v>207</v>
      </c>
      <c r="B50" s="14" t="s">
        <v>31</v>
      </c>
      <c r="C50" s="18" t="s">
        <v>237</v>
      </c>
      <c r="D50" s="15">
        <v>296.4751</v>
      </c>
      <c r="E50" s="135" t="s">
        <v>319</v>
      </c>
      <c r="F50" s="47"/>
    </row>
    <row r="51" spans="1:6" ht="15.6" x14ac:dyDescent="0.35">
      <c r="A51" s="13" t="s">
        <v>245</v>
      </c>
      <c r="B51" s="14" t="s">
        <v>246</v>
      </c>
      <c r="C51" s="14" t="s">
        <v>208</v>
      </c>
      <c r="D51" s="15">
        <f>Risk_Calculations!D57</f>
        <v>25.750499999999999</v>
      </c>
      <c r="E51" s="296" t="s">
        <v>22</v>
      </c>
      <c r="F51" s="47"/>
    </row>
    <row r="52" spans="1:6" x14ac:dyDescent="0.3">
      <c r="A52" s="19"/>
      <c r="B52" s="14"/>
      <c r="C52" s="14"/>
      <c r="D52" s="15"/>
      <c r="E52" s="15"/>
      <c r="F52" s="47"/>
    </row>
    <row r="53" spans="1:6" ht="15.6" x14ac:dyDescent="0.3">
      <c r="A53" s="83" t="s">
        <v>395</v>
      </c>
      <c r="B53" s="84" t="s">
        <v>133</v>
      </c>
      <c r="C53" s="84" t="s">
        <v>87</v>
      </c>
      <c r="D53" s="85">
        <f>D47*(1/D45)</f>
        <v>1003437367.9331478</v>
      </c>
      <c r="E53" s="159"/>
      <c r="F53" s="7"/>
    </row>
    <row r="54" spans="1:6" ht="15.6" x14ac:dyDescent="0.3">
      <c r="A54" s="86" t="s">
        <v>396</v>
      </c>
      <c r="B54" s="127" t="s">
        <v>100</v>
      </c>
      <c r="C54" s="87" t="s">
        <v>222</v>
      </c>
      <c r="D54" s="88">
        <f>1/D53</f>
        <v>9.9657440709007291E-10</v>
      </c>
      <c r="E54" s="159"/>
      <c r="F54" s="48"/>
    </row>
    <row r="55" spans="1:6" x14ac:dyDescent="0.3">
      <c r="A55" s="32" t="s">
        <v>218</v>
      </c>
      <c r="B55" s="8"/>
      <c r="C55" s="8"/>
      <c r="D55" s="7"/>
      <c r="E55" s="15"/>
      <c r="F55" s="49"/>
    </row>
    <row r="56" spans="1:6" x14ac:dyDescent="0.3">
      <c r="A56" s="33" t="s">
        <v>104</v>
      </c>
      <c r="B56" s="8"/>
      <c r="C56" s="8"/>
      <c r="D56" s="7"/>
      <c r="E56" s="15"/>
      <c r="F56" s="49"/>
    </row>
    <row r="57" spans="1:6" ht="16.2" x14ac:dyDescent="0.35">
      <c r="A57" s="33" t="s">
        <v>213</v>
      </c>
      <c r="B57" s="8"/>
      <c r="C57" s="8"/>
      <c r="D57" s="7"/>
      <c r="E57" s="15"/>
      <c r="F57" s="48"/>
    </row>
    <row r="58" spans="1:6" ht="15" x14ac:dyDescent="0.3">
      <c r="A58" s="129" t="s">
        <v>219</v>
      </c>
      <c r="B58" s="34"/>
      <c r="C58" s="35"/>
      <c r="D58" s="48"/>
      <c r="E58" s="48"/>
      <c r="F58" s="7"/>
    </row>
    <row r="59" spans="1:6" x14ac:dyDescent="0.3">
      <c r="A59" s="130" t="s">
        <v>220</v>
      </c>
      <c r="B59" s="36"/>
      <c r="C59" s="37"/>
      <c r="D59" s="49"/>
      <c r="E59" s="49"/>
      <c r="F59" s="7"/>
    </row>
    <row r="60" spans="1:6" x14ac:dyDescent="0.3">
      <c r="A60" s="129" t="s">
        <v>374</v>
      </c>
      <c r="B60" s="36"/>
      <c r="C60" s="37"/>
      <c r="D60" s="49"/>
      <c r="E60" s="49"/>
      <c r="F60" s="7"/>
    </row>
    <row r="61" spans="1:6" ht="15" x14ac:dyDescent="0.3">
      <c r="A61" s="129" t="s">
        <v>327</v>
      </c>
      <c r="B61" s="34"/>
      <c r="C61" s="35"/>
      <c r="D61" s="48"/>
      <c r="E61" s="48"/>
      <c r="F61" s="7"/>
    </row>
    <row r="62" spans="1:6" ht="16.2" x14ac:dyDescent="0.35">
      <c r="A62" s="32" t="s">
        <v>216</v>
      </c>
      <c r="B62" s="8"/>
      <c r="C62" s="8"/>
      <c r="D62" s="7"/>
      <c r="E62" s="7"/>
      <c r="F62" s="7"/>
    </row>
    <row r="63" spans="1:6" x14ac:dyDescent="0.3">
      <c r="A63" s="131" t="s">
        <v>372</v>
      </c>
      <c r="B63" s="8"/>
      <c r="C63" s="8"/>
      <c r="D63" s="7"/>
      <c r="E63" s="7"/>
      <c r="F63" s="7"/>
    </row>
    <row r="64" spans="1:6" x14ac:dyDescent="0.3">
      <c r="A64" s="131" t="s">
        <v>373</v>
      </c>
      <c r="B64" s="8"/>
      <c r="C64" s="8"/>
      <c r="D64" s="7"/>
      <c r="E64" s="7"/>
      <c r="F64" s="7"/>
    </row>
    <row r="65" spans="1:6" x14ac:dyDescent="0.3">
      <c r="A65" s="32" t="s">
        <v>217</v>
      </c>
      <c r="B65" s="8"/>
      <c r="C65" s="8"/>
      <c r="D65" s="7"/>
      <c r="E65" s="7"/>
      <c r="F65" s="7"/>
    </row>
    <row r="66" spans="1:6" ht="16.2" x14ac:dyDescent="0.35">
      <c r="A66" s="32" t="s">
        <v>230</v>
      </c>
      <c r="B66" s="8"/>
      <c r="C66" s="8"/>
      <c r="D66" s="7"/>
      <c r="E66" s="7"/>
      <c r="F66" s="7"/>
    </row>
    <row r="67" spans="1:6" ht="16.2" x14ac:dyDescent="0.35">
      <c r="A67" s="32" t="s">
        <v>231</v>
      </c>
      <c r="B67" s="8"/>
      <c r="C67" s="8"/>
      <c r="D67" s="7"/>
      <c r="E67" s="7"/>
      <c r="F67" s="50"/>
    </row>
    <row r="68" spans="1:6" ht="16.2" x14ac:dyDescent="0.35">
      <c r="A68" s="32" t="s">
        <v>232</v>
      </c>
      <c r="B68" s="8"/>
      <c r="C68" s="8"/>
      <c r="D68" s="7"/>
      <c r="E68" s="7"/>
      <c r="F68" s="7"/>
    </row>
    <row r="69" spans="1:6" ht="16.2" x14ac:dyDescent="0.35">
      <c r="A69" s="32" t="s">
        <v>233</v>
      </c>
      <c r="B69" s="8"/>
      <c r="C69" s="8"/>
      <c r="D69" s="7"/>
      <c r="E69" s="7"/>
      <c r="F69" s="7"/>
    </row>
    <row r="70" spans="1:6" ht="15" x14ac:dyDescent="0.35">
      <c r="A70" s="32" t="s">
        <v>272</v>
      </c>
      <c r="B70" s="8"/>
      <c r="C70" s="8"/>
      <c r="D70" s="7"/>
      <c r="E70" s="7"/>
      <c r="F70" s="7"/>
    </row>
    <row r="71" spans="1:6" ht="16.2" x14ac:dyDescent="0.35">
      <c r="A71" s="32" t="s">
        <v>273</v>
      </c>
      <c r="B71" s="8"/>
      <c r="C71" s="8"/>
      <c r="D71" s="50"/>
      <c r="E71" s="50"/>
      <c r="F71" s="7"/>
    </row>
    <row r="72" spans="1:6" x14ac:dyDescent="0.3">
      <c r="A72" s="32" t="s">
        <v>305</v>
      </c>
      <c r="B72" s="8"/>
      <c r="C72" s="8"/>
      <c r="D72" s="7"/>
      <c r="E72" s="7"/>
      <c r="F72" s="7"/>
    </row>
    <row r="73" spans="1:6" ht="16.2" x14ac:dyDescent="0.3">
      <c r="A73" s="38" t="s">
        <v>381</v>
      </c>
      <c r="B73" s="8"/>
      <c r="C73" s="8"/>
      <c r="D73" s="7"/>
      <c r="E73" s="7"/>
      <c r="F73" s="51"/>
    </row>
    <row r="74" spans="1:6" ht="16.8" x14ac:dyDescent="0.35">
      <c r="A74" s="32" t="s">
        <v>302</v>
      </c>
      <c r="B74" s="8"/>
      <c r="C74" s="8"/>
      <c r="D74" s="7"/>
      <c r="E74" s="7"/>
      <c r="F74" s="51"/>
    </row>
    <row r="75" spans="1:6" ht="16.8" x14ac:dyDescent="0.35">
      <c r="A75" s="40" t="s">
        <v>392</v>
      </c>
      <c r="B75" s="41"/>
      <c r="C75" s="41"/>
      <c r="D75" s="51"/>
      <c r="E75" s="51"/>
    </row>
    <row r="76" spans="1:6" ht="16.8" x14ac:dyDescent="0.35">
      <c r="A76" s="32" t="s">
        <v>394</v>
      </c>
      <c r="B76" s="41"/>
      <c r="C76" s="41"/>
      <c r="D76" s="51"/>
      <c r="E76" s="51"/>
    </row>
    <row r="77" spans="1:6" ht="15" x14ac:dyDescent="0.35">
      <c r="A77" s="32" t="s">
        <v>323</v>
      </c>
      <c r="B77" s="8"/>
      <c r="C77" s="8"/>
      <c r="D77" s="7"/>
      <c r="E77" s="7"/>
      <c r="F77"/>
    </row>
  </sheetData>
  <mergeCells count="1">
    <mergeCell ref="A1:G1"/>
  </mergeCells>
  <phoneticPr fontId="65" type="noConversion"/>
  <pageMargins left="0.7" right="0.7" top="0.75" bottom="0.75" header="0.3" footer="0.3"/>
  <legacyDrawing r:id="rId1"/>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zoomScale="125" workbookViewId="0">
      <selection activeCell="C30" sqref="C30"/>
    </sheetView>
  </sheetViews>
  <sheetFormatPr defaultColWidth="11.44140625" defaultRowHeight="14.4" x14ac:dyDescent="0.3"/>
  <cols>
    <col min="1" max="1" width="85.44140625" bestFit="1" customWidth="1"/>
    <col min="2" max="2" width="9.44140625" bestFit="1" customWidth="1"/>
    <col min="3" max="3" width="16.33203125" bestFit="1" customWidth="1"/>
    <col min="4" max="4" width="11.44140625" style="52" customWidth="1"/>
    <col min="5" max="5" width="46.109375" style="52" bestFit="1" customWidth="1"/>
  </cols>
  <sheetData>
    <row r="1" spans="1:6" s="1" customFormat="1" ht="18" x14ac:dyDescent="0.35">
      <c r="A1" s="349" t="s">
        <v>228</v>
      </c>
      <c r="B1" s="349"/>
      <c r="C1" s="349"/>
      <c r="D1" s="349"/>
      <c r="E1" s="349"/>
      <c r="F1" s="349"/>
    </row>
    <row r="2" spans="1:6" x14ac:dyDescent="0.3">
      <c r="A2" s="2" t="s">
        <v>33</v>
      </c>
      <c r="B2" s="3" t="s">
        <v>36</v>
      </c>
      <c r="C2" s="3" t="s">
        <v>32</v>
      </c>
      <c r="D2" s="42" t="s">
        <v>34</v>
      </c>
      <c r="E2" s="53"/>
    </row>
    <row r="3" spans="1:6" x14ac:dyDescent="0.3">
      <c r="A3" s="4" t="s">
        <v>37</v>
      </c>
      <c r="B3" s="5"/>
      <c r="C3" s="5"/>
      <c r="D3" s="43"/>
      <c r="E3" s="43"/>
    </row>
    <row r="4" spans="1:6" ht="16.2" x14ac:dyDescent="0.3">
      <c r="A4" s="9" t="s">
        <v>307</v>
      </c>
      <c r="B4" s="7" t="s">
        <v>236</v>
      </c>
      <c r="C4" s="10" t="s">
        <v>237</v>
      </c>
      <c r="D4" s="54">
        <v>0.5</v>
      </c>
      <c r="E4" s="44"/>
    </row>
    <row r="5" spans="1:6" ht="16.8" x14ac:dyDescent="0.35">
      <c r="A5" s="9" t="s">
        <v>314</v>
      </c>
      <c r="B5" s="11" t="s">
        <v>239</v>
      </c>
      <c r="C5" s="11" t="s">
        <v>240</v>
      </c>
      <c r="D5" s="292">
        <v>4.0999999999999996</v>
      </c>
      <c r="E5" s="12"/>
    </row>
    <row r="6" spans="1:6" ht="16.8" x14ac:dyDescent="0.35">
      <c r="A6" s="9" t="s">
        <v>308</v>
      </c>
      <c r="B6" s="7" t="s">
        <v>242</v>
      </c>
      <c r="C6" s="8" t="s">
        <v>240</v>
      </c>
      <c r="D6" s="44">
        <v>11.32</v>
      </c>
      <c r="E6" s="44"/>
    </row>
    <row r="7" spans="1:6" ht="16.8" x14ac:dyDescent="0.35">
      <c r="A7" s="9" t="s">
        <v>309</v>
      </c>
      <c r="B7" s="7" t="s">
        <v>244</v>
      </c>
      <c r="C7" s="10" t="s">
        <v>237</v>
      </c>
      <c r="D7" s="44">
        <v>0.19400000000000001</v>
      </c>
      <c r="E7" s="44"/>
    </row>
    <row r="8" spans="1:6" x14ac:dyDescent="0.3">
      <c r="A8" s="16"/>
      <c r="B8" s="11"/>
      <c r="C8" s="11"/>
      <c r="D8" s="15"/>
      <c r="E8" s="15"/>
    </row>
    <row r="9" spans="1:6" ht="16.2" x14ac:dyDescent="0.3">
      <c r="A9" s="19" t="s">
        <v>317</v>
      </c>
      <c r="B9" s="55" t="s">
        <v>251</v>
      </c>
      <c r="C9" s="55" t="s">
        <v>124</v>
      </c>
      <c r="D9" s="56">
        <f>D10*(EXP(((LN(D13)-D11)^2/D12)))</f>
        <v>44.004131313664615</v>
      </c>
      <c r="E9" s="15"/>
    </row>
    <row r="10" spans="1:6" ht="15.6" x14ac:dyDescent="0.3">
      <c r="A10" s="13" t="s">
        <v>310</v>
      </c>
      <c r="B10" s="14" t="s">
        <v>29</v>
      </c>
      <c r="C10" s="18" t="s">
        <v>237</v>
      </c>
      <c r="D10" s="15">
        <f>'QC Equation Constants'!B18</f>
        <v>13.3093</v>
      </c>
      <c r="E10" s="135" t="s">
        <v>319</v>
      </c>
    </row>
    <row r="11" spans="1:6" ht="15.6" x14ac:dyDescent="0.3">
      <c r="A11" s="13" t="s">
        <v>311</v>
      </c>
      <c r="B11" s="14" t="s">
        <v>30</v>
      </c>
      <c r="C11" s="18" t="s">
        <v>237</v>
      </c>
      <c r="D11" s="15">
        <f>'QC Equation Constants'!C18</f>
        <v>19.838699999999999</v>
      </c>
      <c r="E11" s="135" t="s">
        <v>319</v>
      </c>
    </row>
    <row r="12" spans="1:6" ht="15.6" x14ac:dyDescent="0.3">
      <c r="A12" s="13" t="s">
        <v>312</v>
      </c>
      <c r="B12" s="14" t="s">
        <v>31</v>
      </c>
      <c r="C12" s="18" t="s">
        <v>237</v>
      </c>
      <c r="D12" s="15">
        <f>'QC Equation Constants'!D18</f>
        <v>230.1652</v>
      </c>
      <c r="E12" s="135" t="s">
        <v>319</v>
      </c>
    </row>
    <row r="13" spans="1:6" ht="15.6" x14ac:dyDescent="0.35">
      <c r="A13" s="13" t="s">
        <v>316</v>
      </c>
      <c r="B13" s="14" t="s">
        <v>246</v>
      </c>
      <c r="C13" s="14" t="s">
        <v>208</v>
      </c>
      <c r="D13" s="15">
        <f>Risk_Calculations!D57</f>
        <v>25.750499999999999</v>
      </c>
      <c r="E13" s="296" t="s">
        <v>22</v>
      </c>
    </row>
    <row r="14" spans="1:6" x14ac:dyDescent="0.3">
      <c r="A14" s="19"/>
      <c r="B14" s="14"/>
      <c r="C14" s="14"/>
      <c r="D14" s="15"/>
      <c r="E14" s="7"/>
    </row>
    <row r="15" spans="1:6" ht="15.6" x14ac:dyDescent="0.3">
      <c r="A15" s="83" t="s">
        <v>320</v>
      </c>
      <c r="B15" s="84" t="s">
        <v>225</v>
      </c>
      <c r="C15" s="84" t="s">
        <v>87</v>
      </c>
      <c r="D15" s="85">
        <f>D9*(3600/(0.036*(1-D4)*((D5/D6)^3)*D7))</f>
        <v>954793443.61836851</v>
      </c>
      <c r="E15" s="7"/>
    </row>
    <row r="16" spans="1:6" ht="15.6" x14ac:dyDescent="0.3">
      <c r="A16" s="86" t="s">
        <v>321</v>
      </c>
      <c r="B16" s="87" t="s">
        <v>101</v>
      </c>
      <c r="C16" s="87" t="s">
        <v>222</v>
      </c>
      <c r="D16" s="88">
        <f>1/D15</f>
        <v>1.0473469488964155E-9</v>
      </c>
      <c r="E16" s="48"/>
    </row>
    <row r="17" spans="1:5" x14ac:dyDescent="0.3">
      <c r="A17" s="32" t="s">
        <v>306</v>
      </c>
      <c r="B17" s="8"/>
      <c r="C17" s="8"/>
      <c r="D17" s="7"/>
      <c r="E17" s="48"/>
    </row>
    <row r="18" spans="1:5" ht="15" x14ac:dyDescent="0.3">
      <c r="A18" s="33" t="s">
        <v>104</v>
      </c>
      <c r="B18" s="34"/>
      <c r="C18" s="35"/>
      <c r="D18" s="48"/>
      <c r="E18" s="7"/>
    </row>
    <row r="19" spans="1:5" x14ac:dyDescent="0.3">
      <c r="A19" s="130" t="s">
        <v>315</v>
      </c>
      <c r="B19" s="36"/>
      <c r="C19" s="37"/>
      <c r="D19" s="49"/>
      <c r="E19" s="7"/>
    </row>
    <row r="20" spans="1:5" x14ac:dyDescent="0.3">
      <c r="A20" s="129" t="s">
        <v>375</v>
      </c>
      <c r="B20" s="36"/>
      <c r="C20" s="37"/>
      <c r="D20" s="49"/>
      <c r="E20" s="7"/>
    </row>
    <row r="21" spans="1:5" ht="16.2" x14ac:dyDescent="0.35">
      <c r="A21" s="32" t="s">
        <v>318</v>
      </c>
      <c r="B21" s="8"/>
      <c r="C21" s="8"/>
      <c r="D21" s="50"/>
      <c r="E21" s="7"/>
    </row>
    <row r="22" spans="1:5" ht="16.8" x14ac:dyDescent="0.35">
      <c r="A22" s="40" t="s">
        <v>117</v>
      </c>
      <c r="B22" s="41"/>
      <c r="C22" s="41"/>
      <c r="D22" s="51"/>
    </row>
    <row r="23" spans="1:5" ht="16.8" x14ac:dyDescent="0.35">
      <c r="A23" s="32" t="s">
        <v>326</v>
      </c>
      <c r="B23" s="41"/>
      <c r="C23" s="41"/>
      <c r="D23" s="51"/>
    </row>
    <row r="24" spans="1:5" ht="15" x14ac:dyDescent="0.35">
      <c r="A24" s="32" t="s">
        <v>322</v>
      </c>
      <c r="B24" s="8"/>
      <c r="C24" s="8"/>
      <c r="D24" s="7"/>
    </row>
  </sheetData>
  <mergeCells count="1">
    <mergeCell ref="A1:F1"/>
  </mergeCells>
  <phoneticPr fontId="65" type="noConversion"/>
  <pageMargins left="0.7" right="0.7" top="0.75" bottom="0.75" header="0.3" footer="0.3"/>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zoomScale="125" workbookViewId="0">
      <selection activeCell="A25" sqref="A25"/>
    </sheetView>
  </sheetViews>
  <sheetFormatPr defaultColWidth="11.44140625" defaultRowHeight="14.4" x14ac:dyDescent="0.3"/>
  <cols>
    <col min="1" max="1" width="85.44140625" bestFit="1" customWidth="1"/>
    <col min="2" max="2" width="13.33203125" bestFit="1" customWidth="1"/>
    <col min="3" max="3" width="16.33203125" bestFit="1" customWidth="1"/>
    <col min="4" max="4" width="8.44140625" style="52" bestFit="1" customWidth="1"/>
    <col min="5" max="5" width="46.109375" style="52" bestFit="1" customWidth="1"/>
  </cols>
  <sheetData>
    <row r="1" spans="1:6" s="1" customFormat="1" ht="18" x14ac:dyDescent="0.35">
      <c r="A1" s="349" t="s">
        <v>334</v>
      </c>
      <c r="B1" s="349"/>
      <c r="C1" s="349"/>
      <c r="D1" s="349"/>
      <c r="E1" s="349"/>
      <c r="F1" s="349"/>
    </row>
    <row r="2" spans="1:6" x14ac:dyDescent="0.3">
      <c r="A2" s="2" t="s">
        <v>33</v>
      </c>
      <c r="B2" s="3" t="s">
        <v>36</v>
      </c>
      <c r="C2" s="3" t="s">
        <v>32</v>
      </c>
      <c r="D2" s="42" t="s">
        <v>34</v>
      </c>
      <c r="E2" s="53"/>
    </row>
    <row r="3" spans="1:6" x14ac:dyDescent="0.3">
      <c r="A3" s="4" t="s">
        <v>37</v>
      </c>
      <c r="B3" s="5"/>
      <c r="C3" s="5"/>
      <c r="D3" s="43"/>
      <c r="E3" s="43"/>
    </row>
    <row r="4" spans="1:6" ht="16.2" x14ac:dyDescent="0.3">
      <c r="A4" s="9" t="s">
        <v>307</v>
      </c>
      <c r="B4" s="7" t="s">
        <v>236</v>
      </c>
      <c r="C4" s="10" t="s">
        <v>237</v>
      </c>
      <c r="D4" s="54">
        <v>0.5</v>
      </c>
      <c r="E4" s="44"/>
    </row>
    <row r="5" spans="1:6" ht="16.8" x14ac:dyDescent="0.35">
      <c r="A5" s="9" t="s">
        <v>314</v>
      </c>
      <c r="B5" s="11" t="s">
        <v>239</v>
      </c>
      <c r="C5" s="11" t="s">
        <v>240</v>
      </c>
      <c r="D5" s="292">
        <v>4.0999999999999996</v>
      </c>
      <c r="E5" s="12"/>
    </row>
    <row r="6" spans="1:6" ht="16.8" x14ac:dyDescent="0.35">
      <c r="A6" s="9" t="s">
        <v>308</v>
      </c>
      <c r="B6" s="7" t="s">
        <v>242</v>
      </c>
      <c r="C6" s="8" t="s">
        <v>240</v>
      </c>
      <c r="D6" s="44">
        <v>11.32</v>
      </c>
      <c r="E6" s="44"/>
    </row>
    <row r="7" spans="1:6" ht="16.8" x14ac:dyDescent="0.35">
      <c r="A7" s="9" t="s">
        <v>309</v>
      </c>
      <c r="B7" s="7" t="s">
        <v>244</v>
      </c>
      <c r="C7" s="10" t="s">
        <v>237</v>
      </c>
      <c r="D7" s="44">
        <v>0.19400000000000001</v>
      </c>
      <c r="E7" s="44"/>
    </row>
    <row r="8" spans="1:6" x14ac:dyDescent="0.3">
      <c r="A8" s="16"/>
      <c r="B8" s="11"/>
      <c r="C8" s="11"/>
      <c r="D8" s="15"/>
      <c r="E8" s="15"/>
    </row>
    <row r="9" spans="1:6" ht="16.2" x14ac:dyDescent="0.3">
      <c r="A9" s="19" t="s">
        <v>317</v>
      </c>
      <c r="B9" s="55" t="s">
        <v>251</v>
      </c>
      <c r="C9" s="55" t="s">
        <v>124</v>
      </c>
      <c r="D9" s="56">
        <f>D10*(EXP(((LN(D13)-D11)^2/D12)))</f>
        <v>44.004131313664615</v>
      </c>
      <c r="E9" s="15"/>
    </row>
    <row r="10" spans="1:6" ht="15.6" x14ac:dyDescent="0.3">
      <c r="A10" s="13" t="s">
        <v>310</v>
      </c>
      <c r="B10" s="14" t="s">
        <v>29</v>
      </c>
      <c r="C10" s="18" t="s">
        <v>237</v>
      </c>
      <c r="D10" s="15">
        <f>'QC Equation Constants'!B18</f>
        <v>13.3093</v>
      </c>
      <c r="E10" s="135" t="s">
        <v>319</v>
      </c>
    </row>
    <row r="11" spans="1:6" ht="15.6" x14ac:dyDescent="0.3">
      <c r="A11" s="13" t="s">
        <v>311</v>
      </c>
      <c r="B11" s="14" t="s">
        <v>30</v>
      </c>
      <c r="C11" s="18" t="s">
        <v>237</v>
      </c>
      <c r="D11" s="15">
        <f>'QC Equation Constants'!C18</f>
        <v>19.838699999999999</v>
      </c>
      <c r="E11" s="135" t="s">
        <v>319</v>
      </c>
    </row>
    <row r="12" spans="1:6" ht="15.6" x14ac:dyDescent="0.3">
      <c r="A12" s="13" t="s">
        <v>312</v>
      </c>
      <c r="B12" s="14" t="s">
        <v>31</v>
      </c>
      <c r="C12" s="18" t="s">
        <v>237</v>
      </c>
      <c r="D12" s="15">
        <f>'QC Equation Constants'!D18</f>
        <v>230.1652</v>
      </c>
      <c r="E12" s="135" t="s">
        <v>319</v>
      </c>
    </row>
    <row r="13" spans="1:6" ht="15.6" x14ac:dyDescent="0.35">
      <c r="A13" s="13" t="s">
        <v>316</v>
      </c>
      <c r="B13" s="14" t="s">
        <v>246</v>
      </c>
      <c r="C13" s="14" t="s">
        <v>208</v>
      </c>
      <c r="D13" s="15">
        <f>Risk_Calculations!D57</f>
        <v>25.750499999999999</v>
      </c>
      <c r="E13" s="296" t="s">
        <v>22</v>
      </c>
    </row>
    <row r="14" spans="1:6" x14ac:dyDescent="0.3">
      <c r="A14" s="19"/>
      <c r="B14" s="14"/>
      <c r="C14" s="14"/>
      <c r="D14" s="15"/>
    </row>
    <row r="15" spans="1:6" ht="15.6" x14ac:dyDescent="0.3">
      <c r="A15" s="83" t="s">
        <v>108</v>
      </c>
      <c r="B15" s="84" t="s">
        <v>325</v>
      </c>
      <c r="C15" s="84" t="s">
        <v>87</v>
      </c>
      <c r="D15" s="85">
        <f>D9*(3600/(0.036*(1-D4)*((D5/D6)^3)*D7))</f>
        <v>954793443.61836851</v>
      </c>
      <c r="E15" s="7"/>
    </row>
    <row r="16" spans="1:6" ht="15.6" x14ac:dyDescent="0.3">
      <c r="A16" s="86" t="s">
        <v>321</v>
      </c>
      <c r="B16" s="87" t="s">
        <v>333</v>
      </c>
      <c r="C16" s="87" t="s">
        <v>222</v>
      </c>
      <c r="D16" s="88">
        <f>1/D15</f>
        <v>1.0473469488964155E-9</v>
      </c>
      <c r="E16" s="48"/>
    </row>
    <row r="17" spans="1:5" x14ac:dyDescent="0.3">
      <c r="A17" s="32" t="s">
        <v>306</v>
      </c>
      <c r="B17" s="8"/>
      <c r="C17" s="8"/>
      <c r="D17" s="7"/>
      <c r="E17" s="48"/>
    </row>
    <row r="18" spans="1:5" ht="15" x14ac:dyDescent="0.3">
      <c r="A18" s="33" t="s">
        <v>104</v>
      </c>
      <c r="B18" s="34"/>
      <c r="C18" s="35"/>
      <c r="D18" s="48"/>
      <c r="E18" s="7"/>
    </row>
    <row r="19" spans="1:5" x14ac:dyDescent="0.3">
      <c r="A19" s="130" t="s">
        <v>315</v>
      </c>
      <c r="B19" s="36"/>
      <c r="C19" s="37"/>
      <c r="D19" s="49"/>
      <c r="E19" s="7"/>
    </row>
    <row r="20" spans="1:5" x14ac:dyDescent="0.3">
      <c r="A20" s="129" t="s">
        <v>375</v>
      </c>
      <c r="B20" s="36"/>
      <c r="C20" s="37"/>
      <c r="D20" s="49"/>
      <c r="E20" s="7"/>
    </row>
    <row r="21" spans="1:5" ht="16.2" x14ac:dyDescent="0.35">
      <c r="A21" s="32" t="s">
        <v>318</v>
      </c>
      <c r="B21" s="8"/>
      <c r="C21" s="8"/>
      <c r="D21" s="50"/>
      <c r="E21" s="7"/>
    </row>
    <row r="22" spans="1:5" ht="16.8" x14ac:dyDescent="0.35">
      <c r="A22" s="40" t="s">
        <v>117</v>
      </c>
      <c r="B22" s="41"/>
      <c r="C22" s="41"/>
      <c r="D22" s="51"/>
    </row>
    <row r="23" spans="1:5" ht="16.8" x14ac:dyDescent="0.35">
      <c r="A23" s="32" t="s">
        <v>335</v>
      </c>
      <c r="B23" s="41"/>
      <c r="C23" s="41"/>
      <c r="D23" s="51"/>
    </row>
    <row r="24" spans="1:5" ht="15" x14ac:dyDescent="0.35">
      <c r="A24" s="32" t="s">
        <v>397</v>
      </c>
      <c r="B24" s="8"/>
      <c r="C24" s="8"/>
      <c r="D24" s="7"/>
    </row>
  </sheetData>
  <mergeCells count="1">
    <mergeCell ref="A1:F1"/>
  </mergeCells>
  <phoneticPr fontId="65" type="noConversion"/>
  <pageMargins left="0.7" right="0.7" top="0.75" bottom="0.75" header="0.3" footer="0.3"/>
  <extLst>
    <ext xmlns:mx="http://schemas.microsoft.com/office/mac/excel/2008/main" uri="http://schemas.microsoft.com/office/mac/excel/2008/main">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workbookViewId="0">
      <selection activeCell="E24" sqref="E24"/>
    </sheetView>
  </sheetViews>
  <sheetFormatPr defaultColWidth="11.44140625" defaultRowHeight="14.4" x14ac:dyDescent="0.3"/>
  <cols>
    <col min="1" max="1" width="21.6640625" bestFit="1" customWidth="1"/>
    <col min="2" max="4" width="10.44140625" bestFit="1" customWidth="1"/>
    <col min="5" max="5" width="11.44140625" customWidth="1"/>
    <col min="6" max="6" width="21.6640625" bestFit="1" customWidth="1"/>
    <col min="7" max="9" width="10.44140625" bestFit="1" customWidth="1"/>
  </cols>
  <sheetData>
    <row r="1" spans="1:9" x14ac:dyDescent="0.3">
      <c r="A1" s="166" t="s">
        <v>25</v>
      </c>
      <c r="B1" s="166"/>
      <c r="C1" s="166"/>
      <c r="D1" s="166"/>
      <c r="F1" s="166" t="s">
        <v>24</v>
      </c>
      <c r="G1" s="166"/>
      <c r="H1" s="166"/>
      <c r="I1" s="166"/>
    </row>
    <row r="2" spans="1:9" ht="16.8" x14ac:dyDescent="0.35">
      <c r="A2" s="350" t="s">
        <v>298</v>
      </c>
      <c r="B2" s="350"/>
      <c r="C2" s="350"/>
      <c r="D2" s="350"/>
      <c r="F2" s="350" t="s">
        <v>299</v>
      </c>
      <c r="G2" s="350"/>
      <c r="H2" s="350"/>
      <c r="I2" s="350"/>
    </row>
    <row r="3" spans="1:9" ht="15" thickBot="1" x14ac:dyDescent="0.35">
      <c r="A3" s="119" t="s">
        <v>197</v>
      </c>
      <c r="B3" s="119" t="s">
        <v>274</v>
      </c>
      <c r="C3" s="119" t="s">
        <v>275</v>
      </c>
      <c r="D3" s="119" t="s">
        <v>276</v>
      </c>
      <c r="F3" s="119" t="s">
        <v>197</v>
      </c>
      <c r="G3" s="119" t="s">
        <v>274</v>
      </c>
      <c r="H3" s="119" t="s">
        <v>275</v>
      </c>
      <c r="I3" s="119" t="s">
        <v>276</v>
      </c>
    </row>
    <row r="4" spans="1:9" ht="15" thickTop="1" x14ac:dyDescent="0.3">
      <c r="A4" t="s">
        <v>254</v>
      </c>
      <c r="B4">
        <v>14.9421</v>
      </c>
      <c r="C4">
        <v>17.986899999999999</v>
      </c>
      <c r="D4">
        <v>205.1782</v>
      </c>
      <c r="F4" t="s">
        <v>254</v>
      </c>
      <c r="G4">
        <v>17.825199999999999</v>
      </c>
      <c r="H4">
        <v>22.870100000000001</v>
      </c>
      <c r="I4">
        <v>274.12610000000001</v>
      </c>
    </row>
    <row r="5" spans="1:9" x14ac:dyDescent="0.3">
      <c r="A5" t="s">
        <v>255</v>
      </c>
      <c r="B5">
        <v>14.834899999999999</v>
      </c>
      <c r="C5">
        <v>17.925899999999999</v>
      </c>
      <c r="D5">
        <v>204.1516</v>
      </c>
      <c r="F5" t="s">
        <v>255</v>
      </c>
      <c r="G5">
        <v>15.8125</v>
      </c>
      <c r="H5">
        <v>23.752700000000001</v>
      </c>
      <c r="I5">
        <v>288.61079999999998</v>
      </c>
    </row>
    <row r="6" spans="1:9" x14ac:dyDescent="0.3">
      <c r="A6" t="s">
        <v>256</v>
      </c>
      <c r="B6">
        <v>15.0235</v>
      </c>
      <c r="C6">
        <v>18.252600000000001</v>
      </c>
      <c r="D6">
        <v>207.33869999999999</v>
      </c>
      <c r="F6" t="s">
        <v>256</v>
      </c>
      <c r="G6">
        <v>18.892800000000001</v>
      </c>
      <c r="H6">
        <v>22.227399999999999</v>
      </c>
      <c r="I6">
        <v>268.28489999999999</v>
      </c>
    </row>
    <row r="7" spans="1:9" x14ac:dyDescent="0.3">
      <c r="A7" t="s">
        <v>257</v>
      </c>
      <c r="B7">
        <v>11.3161</v>
      </c>
      <c r="C7">
        <v>19.643699999999999</v>
      </c>
      <c r="D7">
        <v>224.81720000000001</v>
      </c>
      <c r="F7" t="s">
        <v>257</v>
      </c>
      <c r="G7">
        <v>12.2294</v>
      </c>
      <c r="H7">
        <v>23.8156</v>
      </c>
      <c r="I7">
        <v>286.48070000000001</v>
      </c>
    </row>
    <row r="8" spans="1:9" x14ac:dyDescent="0.3">
      <c r="A8" t="s">
        <v>172</v>
      </c>
      <c r="B8">
        <v>7.1414</v>
      </c>
      <c r="C8">
        <v>31.179400000000001</v>
      </c>
      <c r="D8">
        <v>382.6078</v>
      </c>
      <c r="F8" t="s">
        <v>172</v>
      </c>
      <c r="G8">
        <v>18.427499999999998</v>
      </c>
      <c r="H8">
        <v>22.901499999999999</v>
      </c>
      <c r="I8">
        <v>280.69490000000002</v>
      </c>
    </row>
    <row r="9" spans="1:9" x14ac:dyDescent="0.3">
      <c r="A9" t="s">
        <v>173</v>
      </c>
      <c r="B9">
        <v>13.7674</v>
      </c>
      <c r="C9">
        <v>18.0441</v>
      </c>
      <c r="D9">
        <v>204.8689</v>
      </c>
      <c r="F9" t="s">
        <v>173</v>
      </c>
      <c r="G9">
        <v>19.290400000000002</v>
      </c>
      <c r="H9">
        <v>21.9679</v>
      </c>
      <c r="I9">
        <v>265.05059999999997</v>
      </c>
    </row>
    <row r="10" spans="1:9" x14ac:dyDescent="0.3">
      <c r="A10" t="s">
        <v>174</v>
      </c>
      <c r="B10">
        <v>16.865300000000001</v>
      </c>
      <c r="C10">
        <v>18.784800000000001</v>
      </c>
      <c r="D10">
        <v>215.0624</v>
      </c>
      <c r="F10" t="s">
        <v>174</v>
      </c>
      <c r="G10">
        <v>20.183700000000002</v>
      </c>
      <c r="H10">
        <v>21.636700000000001</v>
      </c>
      <c r="I10">
        <v>264.06849999999997</v>
      </c>
    </row>
    <row r="11" spans="1:9" x14ac:dyDescent="0.3">
      <c r="A11" t="s">
        <v>175</v>
      </c>
      <c r="B11">
        <v>12.8612</v>
      </c>
      <c r="C11">
        <v>20.516400000000001</v>
      </c>
      <c r="D11">
        <v>237.27979999999999</v>
      </c>
      <c r="F11" t="s">
        <v>175</v>
      </c>
      <c r="G11">
        <v>13.4283</v>
      </c>
      <c r="H11">
        <v>24.532800000000002</v>
      </c>
      <c r="I11">
        <v>302.17380000000003</v>
      </c>
    </row>
    <row r="12" spans="1:9" x14ac:dyDescent="0.3">
      <c r="A12" t="s">
        <v>176</v>
      </c>
      <c r="B12">
        <v>11.3612</v>
      </c>
      <c r="C12">
        <v>19.3324</v>
      </c>
      <c r="D12">
        <v>221.2167</v>
      </c>
      <c r="F12" t="s">
        <v>176</v>
      </c>
      <c r="G12">
        <v>12.077</v>
      </c>
      <c r="H12">
        <v>22.562100000000001</v>
      </c>
      <c r="I12">
        <v>272.56849999999997</v>
      </c>
    </row>
    <row r="13" spans="1:9" x14ac:dyDescent="0.3">
      <c r="A13" t="s">
        <v>177</v>
      </c>
      <c r="B13">
        <v>10.215199999999999</v>
      </c>
      <c r="C13">
        <v>19.2654</v>
      </c>
      <c r="D13">
        <v>220.06039999999999</v>
      </c>
      <c r="F13" t="s">
        <v>177</v>
      </c>
      <c r="G13">
        <v>11.555400000000001</v>
      </c>
      <c r="H13">
        <v>22.257100000000001</v>
      </c>
      <c r="I13">
        <v>268.03309999999999</v>
      </c>
    </row>
    <row r="14" spans="1:9" x14ac:dyDescent="0.3">
      <c r="A14" t="s">
        <v>178</v>
      </c>
      <c r="B14">
        <v>15.5169</v>
      </c>
      <c r="C14">
        <v>18.424800000000001</v>
      </c>
      <c r="D14">
        <v>211.7679</v>
      </c>
      <c r="F14" t="s">
        <v>178</v>
      </c>
      <c r="G14">
        <v>17.296800000000001</v>
      </c>
      <c r="H14">
        <v>22.291699999999999</v>
      </c>
      <c r="I14">
        <v>272.98</v>
      </c>
    </row>
    <row r="15" spans="1:9" x14ac:dyDescent="0.3">
      <c r="A15" t="s">
        <v>179</v>
      </c>
      <c r="B15">
        <v>12.5907</v>
      </c>
      <c r="C15">
        <v>18.8368</v>
      </c>
      <c r="D15">
        <v>215.43770000000001</v>
      </c>
      <c r="F15" t="s">
        <v>179</v>
      </c>
      <c r="G15">
        <v>15.3353</v>
      </c>
      <c r="H15">
        <v>21.669</v>
      </c>
      <c r="I15">
        <v>261.7432</v>
      </c>
    </row>
    <row r="16" spans="1:9" x14ac:dyDescent="0.3">
      <c r="A16" t="s">
        <v>180</v>
      </c>
      <c r="B16">
        <v>13.648199999999999</v>
      </c>
      <c r="C16">
        <v>18.1754</v>
      </c>
      <c r="D16">
        <v>206.72730000000001</v>
      </c>
      <c r="F16" t="s">
        <v>180</v>
      </c>
      <c r="G16">
        <v>18.927299999999999</v>
      </c>
      <c r="H16">
        <v>20.160900000000002</v>
      </c>
      <c r="I16">
        <v>242.9736</v>
      </c>
    </row>
    <row r="17" spans="1:9" x14ac:dyDescent="0.3">
      <c r="A17" t="s">
        <v>181</v>
      </c>
      <c r="B17">
        <v>9.9253</v>
      </c>
      <c r="C17">
        <v>18.663599999999999</v>
      </c>
      <c r="D17">
        <v>211.8862</v>
      </c>
      <c r="F17" t="s">
        <v>181</v>
      </c>
      <c r="G17">
        <v>12.152100000000001</v>
      </c>
      <c r="H17">
        <v>21.196999999999999</v>
      </c>
      <c r="I17">
        <v>252.69640000000001</v>
      </c>
    </row>
    <row r="18" spans="1:9" x14ac:dyDescent="0.3">
      <c r="A18" s="283" t="s">
        <v>182</v>
      </c>
      <c r="B18" s="284">
        <v>13.3093</v>
      </c>
      <c r="C18" s="284">
        <v>19.838699999999999</v>
      </c>
      <c r="D18" s="285">
        <v>230.1652</v>
      </c>
      <c r="F18" s="283" t="s">
        <v>182</v>
      </c>
      <c r="G18" s="284">
        <v>12.1784</v>
      </c>
      <c r="H18" s="284">
        <v>24.560600000000001</v>
      </c>
      <c r="I18" s="285">
        <v>296.4751</v>
      </c>
    </row>
    <row r="19" spans="1:9" x14ac:dyDescent="0.3">
      <c r="A19" t="s">
        <v>183</v>
      </c>
      <c r="B19">
        <v>14.190099999999999</v>
      </c>
      <c r="C19">
        <v>18.563400000000001</v>
      </c>
      <c r="D19">
        <v>210.52809999999999</v>
      </c>
      <c r="F19" t="s">
        <v>183</v>
      </c>
      <c r="G19">
        <v>17.689699999999998</v>
      </c>
      <c r="H19">
        <v>22.782599999999999</v>
      </c>
      <c r="I19">
        <v>273.29070000000002</v>
      </c>
    </row>
    <row r="20" spans="1:9" x14ac:dyDescent="0.3">
      <c r="A20" t="s">
        <v>184</v>
      </c>
      <c r="B20">
        <v>12.4964</v>
      </c>
      <c r="C20">
        <v>18.447600000000001</v>
      </c>
      <c r="D20">
        <v>210.21279999999999</v>
      </c>
      <c r="F20" t="s">
        <v>184</v>
      </c>
      <c r="G20">
        <v>15.4094</v>
      </c>
      <c r="H20">
        <v>21.719799999999999</v>
      </c>
      <c r="I20">
        <v>261.89260000000002</v>
      </c>
    </row>
    <row r="21" spans="1:9" x14ac:dyDescent="0.3">
      <c r="A21" t="s">
        <v>185</v>
      </c>
      <c r="B21">
        <v>11.911</v>
      </c>
      <c r="C21">
        <v>18.438500000000001</v>
      </c>
      <c r="D21">
        <v>209.78450000000001</v>
      </c>
      <c r="F21" t="s">
        <v>185</v>
      </c>
      <c r="G21">
        <v>15.7133</v>
      </c>
      <c r="H21">
        <v>21.899699999999999</v>
      </c>
      <c r="I21">
        <v>269.82440000000003</v>
      </c>
    </row>
    <row r="22" spans="1:9" x14ac:dyDescent="0.3">
      <c r="A22" t="s">
        <v>186</v>
      </c>
      <c r="B22">
        <v>12.196</v>
      </c>
      <c r="C22">
        <v>19.064499999999999</v>
      </c>
      <c r="D22">
        <v>215.39230000000001</v>
      </c>
      <c r="F22" t="s">
        <v>186</v>
      </c>
      <c r="G22">
        <v>17.7682</v>
      </c>
      <c r="H22">
        <v>21.3218</v>
      </c>
      <c r="I22">
        <v>253.64359999999999</v>
      </c>
    </row>
    <row r="23" spans="1:9" x14ac:dyDescent="0.3">
      <c r="A23" t="s">
        <v>187</v>
      </c>
      <c r="B23">
        <v>16.2302</v>
      </c>
      <c r="C23">
        <v>18.776199999999999</v>
      </c>
      <c r="D23">
        <v>216.108</v>
      </c>
      <c r="F23" t="s">
        <v>187</v>
      </c>
      <c r="G23">
        <v>20.235199999999999</v>
      </c>
      <c r="H23">
        <v>22.312899999999999</v>
      </c>
      <c r="I23">
        <v>271.13159999999999</v>
      </c>
    </row>
    <row r="24" spans="1:9" x14ac:dyDescent="0.3">
      <c r="A24" t="s">
        <v>188</v>
      </c>
      <c r="B24">
        <v>14.011100000000001</v>
      </c>
      <c r="C24">
        <v>19.615400000000001</v>
      </c>
      <c r="D24">
        <v>225.33969999999999</v>
      </c>
      <c r="F24" t="s">
        <v>188</v>
      </c>
      <c r="G24">
        <v>16.492699999999999</v>
      </c>
      <c r="H24">
        <v>22.218699999999998</v>
      </c>
      <c r="I24">
        <v>268.31389999999999</v>
      </c>
    </row>
    <row r="25" spans="1:9" x14ac:dyDescent="0.3">
      <c r="A25" t="s">
        <v>189</v>
      </c>
      <c r="B25">
        <v>10.287100000000001</v>
      </c>
      <c r="C25">
        <v>18.712399999999999</v>
      </c>
      <c r="D25">
        <v>212.2704</v>
      </c>
      <c r="F25" t="s">
        <v>189</v>
      </c>
      <c r="G25">
        <v>11.6831</v>
      </c>
      <c r="H25">
        <v>23.491</v>
      </c>
      <c r="I25">
        <v>287.99689999999998</v>
      </c>
    </row>
    <row r="26" spans="1:9" x14ac:dyDescent="0.3">
      <c r="A26" t="s">
        <v>190</v>
      </c>
      <c r="B26">
        <v>10.465999999999999</v>
      </c>
      <c r="C26">
        <v>20.907699999999998</v>
      </c>
      <c r="D26">
        <v>238.0318</v>
      </c>
      <c r="F26" t="s">
        <v>190</v>
      </c>
      <c r="G26">
        <v>13.2438</v>
      </c>
      <c r="H26">
        <v>23.275400000000001</v>
      </c>
      <c r="I26">
        <v>277.84730000000002</v>
      </c>
    </row>
    <row r="27" spans="1:9" x14ac:dyDescent="0.3">
      <c r="A27" t="s">
        <v>191</v>
      </c>
      <c r="B27">
        <v>12.3675</v>
      </c>
      <c r="C27">
        <v>18.633700000000001</v>
      </c>
      <c r="D27">
        <v>212.72839999999999</v>
      </c>
      <c r="F27" t="s">
        <v>191</v>
      </c>
      <c r="G27">
        <v>15.408099999999999</v>
      </c>
      <c r="H27">
        <v>21.865600000000001</v>
      </c>
      <c r="I27">
        <v>261.32670000000002</v>
      </c>
    </row>
    <row r="28" spans="1:9" x14ac:dyDescent="0.3">
      <c r="A28" t="s">
        <v>192</v>
      </c>
      <c r="B28">
        <v>12.378299999999999</v>
      </c>
      <c r="C28">
        <v>18.968299999999999</v>
      </c>
      <c r="D28">
        <v>218.20859999999999</v>
      </c>
      <c r="F28" t="s">
        <v>192</v>
      </c>
      <c r="G28">
        <v>14.5609</v>
      </c>
      <c r="H28">
        <v>21.997399999999999</v>
      </c>
      <c r="I28">
        <v>265.31979999999999</v>
      </c>
    </row>
    <row r="29" spans="1:9" x14ac:dyDescent="0.3">
      <c r="A29" t="s">
        <v>193</v>
      </c>
      <c r="B29">
        <v>13.2559</v>
      </c>
      <c r="C29">
        <v>19.297799999999999</v>
      </c>
      <c r="D29">
        <v>221.33789999999999</v>
      </c>
      <c r="F29" t="s">
        <v>193</v>
      </c>
      <c r="G29">
        <v>11.300599999999999</v>
      </c>
      <c r="H29">
        <v>25.865500000000001</v>
      </c>
      <c r="I29">
        <v>321.39240000000001</v>
      </c>
    </row>
    <row r="30" spans="1:9" x14ac:dyDescent="0.3">
      <c r="A30" t="s">
        <v>194</v>
      </c>
      <c r="B30">
        <v>13.8139</v>
      </c>
      <c r="C30">
        <v>20.162400000000002</v>
      </c>
      <c r="D30">
        <v>234.2869</v>
      </c>
      <c r="F30" t="s">
        <v>194</v>
      </c>
      <c r="G30">
        <v>13.199400000000001</v>
      </c>
      <c r="H30">
        <v>23.641400000000001</v>
      </c>
      <c r="I30">
        <v>283.53070000000002</v>
      </c>
    </row>
    <row r="31" spans="1:9" x14ac:dyDescent="0.3">
      <c r="A31" t="s">
        <v>195</v>
      </c>
      <c r="B31">
        <v>14.225300000000001</v>
      </c>
      <c r="C31">
        <v>18.836600000000001</v>
      </c>
      <c r="D31">
        <v>218.18450000000001</v>
      </c>
      <c r="F31" t="s">
        <v>195</v>
      </c>
      <c r="G31">
        <v>18.5578</v>
      </c>
      <c r="H31">
        <v>21.546900000000001</v>
      </c>
      <c r="I31">
        <v>269.04309999999998</v>
      </c>
    </row>
    <row r="32" spans="1:9" x14ac:dyDescent="0.3">
      <c r="A32" t="s">
        <v>196</v>
      </c>
      <c r="B32">
        <v>12.878399999999999</v>
      </c>
      <c r="C32">
        <v>17.980399999999999</v>
      </c>
      <c r="D32">
        <v>204.1028</v>
      </c>
      <c r="F32" t="s">
        <v>196</v>
      </c>
      <c r="G32">
        <v>16.515699999999999</v>
      </c>
      <c r="H32">
        <v>21.289400000000001</v>
      </c>
      <c r="I32">
        <v>252.86340000000001</v>
      </c>
    </row>
    <row r="34" spans="1:1" ht="16.2" x14ac:dyDescent="0.3">
      <c r="A34" s="128" t="s">
        <v>301</v>
      </c>
    </row>
    <row r="35" spans="1:1" ht="16.2" x14ac:dyDescent="0.3">
      <c r="A35" s="128" t="s">
        <v>300</v>
      </c>
    </row>
  </sheetData>
  <mergeCells count="2">
    <mergeCell ref="A2:D2"/>
    <mergeCell ref="F2:I2"/>
  </mergeCells>
  <phoneticPr fontId="65" type="noConversion"/>
  <pageMargins left="0.7" right="0.7" top="0.75" bottom="0.75" header="0.3" footer="0.3"/>
  <extLs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topLeftCell="A5" workbookViewId="0">
      <selection activeCell="I31" sqref="I31"/>
    </sheetView>
  </sheetViews>
  <sheetFormatPr defaultColWidth="11.44140625" defaultRowHeight="14.4" x14ac:dyDescent="0.3"/>
  <cols>
    <col min="1" max="1" width="29.33203125" customWidth="1"/>
    <col min="2" max="3" width="16" bestFit="1" customWidth="1"/>
    <col min="4" max="4" width="16.6640625" bestFit="1" customWidth="1"/>
    <col min="5" max="5" width="16.33203125" bestFit="1" customWidth="1"/>
    <col min="6" max="6" width="12.88671875" bestFit="1" customWidth="1"/>
    <col min="7" max="7" width="12.88671875" customWidth="1"/>
    <col min="8" max="8" width="28.44140625" customWidth="1"/>
  </cols>
  <sheetData>
    <row r="1" spans="1:9" ht="21" x14ac:dyDescent="0.4">
      <c r="A1" s="260" t="s">
        <v>0</v>
      </c>
      <c r="B1" s="260"/>
      <c r="C1" s="260"/>
      <c r="D1" s="260"/>
      <c r="E1" s="260"/>
      <c r="F1" s="260"/>
      <c r="G1" s="260"/>
    </row>
    <row r="2" spans="1:9" ht="21" x14ac:dyDescent="0.4">
      <c r="A2" s="260" t="s">
        <v>1</v>
      </c>
      <c r="B2" s="260"/>
      <c r="C2" s="260"/>
      <c r="D2" s="260"/>
      <c r="E2" s="260"/>
      <c r="F2" s="260"/>
      <c r="G2" s="260"/>
      <c r="H2" s="279" t="s">
        <v>28</v>
      </c>
      <c r="I2" s="280">
        <f>1*(1/(1/F13+1/F14+1/F15+1/F16+1/F17+1/F18+1/F22+1/F23+1/F19+1/F20+1/F21+1/F24+1/F25+1/F26+1/F27+1/F28+1/F29+1/F30+1/F31+1/F32+1/F33+1/F34+1/F35+1/F36+1/F37))</f>
        <v>0.11754319733318429</v>
      </c>
    </row>
    <row r="3" spans="1:9" ht="15.6" x14ac:dyDescent="0.3">
      <c r="H3" s="281"/>
      <c r="I3" s="280"/>
    </row>
    <row r="4" spans="1:9" ht="21" x14ac:dyDescent="0.4">
      <c r="A4" s="259" t="s">
        <v>167</v>
      </c>
      <c r="H4" s="122" t="s">
        <v>366</v>
      </c>
      <c r="I4" s="122"/>
    </row>
    <row r="5" spans="1:9" ht="21" x14ac:dyDescent="0.4">
      <c r="A5" s="259" t="s">
        <v>51</v>
      </c>
    </row>
    <row r="6" spans="1:9" ht="15.6" x14ac:dyDescent="0.3">
      <c r="H6" s="179" t="s">
        <v>52</v>
      </c>
      <c r="I6" s="96">
        <f>SUM(B13:B37)</f>
        <v>5</v>
      </c>
    </row>
    <row r="7" spans="1:9" ht="18" x14ac:dyDescent="0.35">
      <c r="A7" s="235" t="s">
        <v>4</v>
      </c>
      <c r="B7" s="235"/>
      <c r="C7" s="235"/>
      <c r="D7" s="235"/>
      <c r="E7" s="235"/>
      <c r="F7" s="235"/>
      <c r="H7" s="179" t="s">
        <v>3</v>
      </c>
      <c r="I7" s="96">
        <f>SUM(D13:D37)</f>
        <v>0</v>
      </c>
    </row>
    <row r="9" spans="1:9" ht="15.6" x14ac:dyDescent="0.3">
      <c r="A9" s="120"/>
      <c r="B9" s="121"/>
      <c r="C9" s="121"/>
      <c r="D9" s="121"/>
      <c r="E9" s="121"/>
      <c r="F9" s="261" t="s">
        <v>2</v>
      </c>
    </row>
    <row r="10" spans="1:9" ht="15.6" x14ac:dyDescent="0.3">
      <c r="A10" s="123"/>
      <c r="B10" s="124" t="s">
        <v>82</v>
      </c>
      <c r="C10" s="124" t="s">
        <v>83</v>
      </c>
      <c r="D10" s="124" t="s">
        <v>82</v>
      </c>
      <c r="E10" s="124" t="s">
        <v>83</v>
      </c>
      <c r="F10" s="124" t="s">
        <v>277</v>
      </c>
    </row>
    <row r="11" spans="1:9" ht="15.6" x14ac:dyDescent="0.3">
      <c r="A11" s="123"/>
      <c r="B11" s="124" t="s">
        <v>84</v>
      </c>
      <c r="C11" s="124" t="s">
        <v>84</v>
      </c>
      <c r="D11" s="124" t="s">
        <v>85</v>
      </c>
      <c r="E11" s="124" t="s">
        <v>86</v>
      </c>
      <c r="F11" s="124" t="s">
        <v>278</v>
      </c>
      <c r="G11" s="179"/>
    </row>
    <row r="12" spans="1:9" ht="19.2" x14ac:dyDescent="0.4">
      <c r="A12" s="125" t="s">
        <v>212</v>
      </c>
      <c r="B12" s="125" t="s">
        <v>279</v>
      </c>
      <c r="C12" s="125" t="s">
        <v>279</v>
      </c>
      <c r="D12" s="125" t="s">
        <v>279</v>
      </c>
      <c r="E12" s="125" t="s">
        <v>279</v>
      </c>
      <c r="F12" s="125" t="s">
        <v>280</v>
      </c>
      <c r="G12" s="124"/>
    </row>
    <row r="13" spans="1:9" ht="15.6" x14ac:dyDescent="0.3">
      <c r="A13" s="276" t="s">
        <v>421</v>
      </c>
      <c r="B13" s="277">
        <v>0</v>
      </c>
      <c r="C13" s="277"/>
      <c r="D13" s="277">
        <v>0</v>
      </c>
      <c r="E13" s="277"/>
      <c r="F13" s="312">
        <v>2.9990262999999997</v>
      </c>
      <c r="G13" s="126"/>
    </row>
    <row r="14" spans="1:9" ht="15.6" x14ac:dyDescent="0.3">
      <c r="A14" s="278" t="s">
        <v>422</v>
      </c>
      <c r="B14" s="277">
        <v>0</v>
      </c>
      <c r="C14" s="277"/>
      <c r="D14" s="277">
        <v>0</v>
      </c>
      <c r="E14" s="277"/>
      <c r="F14" s="312">
        <v>2.9914529999999999</v>
      </c>
      <c r="G14" s="126"/>
    </row>
    <row r="15" spans="1:9" ht="15.6" x14ac:dyDescent="0.3">
      <c r="A15" s="278" t="s">
        <v>423</v>
      </c>
      <c r="B15" s="277">
        <v>0</v>
      </c>
      <c r="C15" s="277"/>
      <c r="D15" s="277">
        <v>0</v>
      </c>
      <c r="E15" s="277"/>
      <c r="F15" s="312">
        <v>2.9866261000000001</v>
      </c>
      <c r="G15" s="126"/>
    </row>
    <row r="16" spans="1:9" ht="15.6" x14ac:dyDescent="0.3">
      <c r="A16" s="278" t="s">
        <v>424</v>
      </c>
      <c r="B16" s="277">
        <v>0</v>
      </c>
      <c r="C16" s="277"/>
      <c r="D16" s="277">
        <v>0</v>
      </c>
      <c r="E16" s="277"/>
      <c r="F16" s="312">
        <v>2.9990262999999997</v>
      </c>
      <c r="G16" s="126"/>
    </row>
    <row r="17" spans="1:7" ht="15.6" x14ac:dyDescent="0.3">
      <c r="A17" s="278" t="s">
        <v>425</v>
      </c>
      <c r="B17" s="277">
        <v>0</v>
      </c>
      <c r="C17" s="277"/>
      <c r="D17" s="277">
        <v>0</v>
      </c>
      <c r="E17" s="277"/>
      <c r="F17" s="312">
        <v>2.9603542999999997</v>
      </c>
      <c r="G17" s="126"/>
    </row>
    <row r="18" spans="1:7" ht="15.6" x14ac:dyDescent="0.3">
      <c r="A18" s="278" t="s">
        <v>426</v>
      </c>
      <c r="B18" s="277">
        <v>0</v>
      </c>
      <c r="C18" s="277"/>
      <c r="D18" s="277">
        <v>0</v>
      </c>
      <c r="E18" s="277"/>
      <c r="F18" s="312">
        <v>2.9603542999999997</v>
      </c>
      <c r="G18" s="126"/>
    </row>
    <row r="19" spans="1:7" ht="15.6" x14ac:dyDescent="0.3">
      <c r="A19" s="278" t="s">
        <v>427</v>
      </c>
      <c r="B19" s="277">
        <v>0</v>
      </c>
      <c r="C19" s="277"/>
      <c r="D19" s="277">
        <v>0</v>
      </c>
      <c r="E19" s="277"/>
      <c r="F19" s="312">
        <v>2.3108133999999998</v>
      </c>
      <c r="G19" s="126"/>
    </row>
    <row r="20" spans="1:7" ht="15.6" x14ac:dyDescent="0.3">
      <c r="A20" s="278" t="s">
        <v>428</v>
      </c>
      <c r="B20" s="277">
        <v>1</v>
      </c>
      <c r="C20" s="277"/>
      <c r="D20" s="277">
        <v>0</v>
      </c>
      <c r="E20" s="277"/>
      <c r="F20" s="312">
        <v>2.9746267999999998</v>
      </c>
      <c r="G20" s="126"/>
    </row>
    <row r="21" spans="1:7" ht="15.6" x14ac:dyDescent="0.3">
      <c r="A21" s="278" t="s">
        <v>429</v>
      </c>
      <c r="B21" s="277">
        <v>0</v>
      </c>
      <c r="C21" s="277"/>
      <c r="D21" s="277">
        <v>0</v>
      </c>
      <c r="E21" s="277"/>
      <c r="F21" s="312">
        <v>2.98</v>
      </c>
      <c r="G21" s="126"/>
    </row>
    <row r="22" spans="1:7" ht="15.6" x14ac:dyDescent="0.3">
      <c r="A22" s="278" t="s">
        <v>430</v>
      </c>
      <c r="B22" s="277">
        <v>0</v>
      </c>
      <c r="C22" s="277"/>
      <c r="D22" s="277">
        <v>0</v>
      </c>
      <c r="E22" s="277"/>
      <c r="F22" s="312">
        <v>2.9734319999999999</v>
      </c>
      <c r="G22" s="126"/>
    </row>
    <row r="23" spans="1:7" ht="15.6" x14ac:dyDescent="0.3">
      <c r="A23" s="278" t="s">
        <v>431</v>
      </c>
      <c r="B23" s="277">
        <v>0</v>
      </c>
      <c r="C23" s="277"/>
      <c r="D23" s="277">
        <v>0</v>
      </c>
      <c r="E23" s="277"/>
      <c r="F23" s="312">
        <v>2.9854217999999997</v>
      </c>
      <c r="G23" s="126"/>
    </row>
    <row r="24" spans="1:7" ht="15.6" x14ac:dyDescent="0.3">
      <c r="A24" s="278" t="s">
        <v>432</v>
      </c>
      <c r="B24" s="277">
        <v>1</v>
      </c>
      <c r="C24" s="277"/>
      <c r="D24" s="277">
        <v>0</v>
      </c>
      <c r="E24" s="277"/>
      <c r="F24" s="312">
        <v>2.8683181000000002</v>
      </c>
      <c r="G24" s="126"/>
    </row>
    <row r="25" spans="1:7" ht="15.6" x14ac:dyDescent="0.3">
      <c r="A25" s="278" t="s">
        <v>433</v>
      </c>
      <c r="B25" s="277">
        <v>0</v>
      </c>
      <c r="C25" s="277"/>
      <c r="D25" s="277">
        <v>0</v>
      </c>
      <c r="E25" s="277"/>
      <c r="F25" s="312">
        <v>2.9520917678812899</v>
      </c>
      <c r="G25" s="126"/>
    </row>
    <row r="26" spans="1:7" ht="15.6" x14ac:dyDescent="0.3">
      <c r="A26" s="278" t="s">
        <v>434</v>
      </c>
      <c r="B26" s="277">
        <v>0</v>
      </c>
      <c r="C26" s="277"/>
      <c r="D26" s="277">
        <v>0</v>
      </c>
      <c r="E26" s="277"/>
      <c r="F26" s="312">
        <v>2.9149000605693001</v>
      </c>
      <c r="G26" s="126"/>
    </row>
    <row r="27" spans="1:7" ht="15.6" x14ac:dyDescent="0.3">
      <c r="A27" s="278" t="s">
        <v>435</v>
      </c>
      <c r="B27" s="277">
        <v>0</v>
      </c>
      <c r="C27" s="277"/>
      <c r="D27" s="277">
        <v>0</v>
      </c>
      <c r="E27" s="277"/>
      <c r="F27" s="312">
        <v>2.9785159999999999</v>
      </c>
      <c r="G27" s="126"/>
    </row>
    <row r="28" spans="1:7" ht="15.6" x14ac:dyDescent="0.3">
      <c r="A28" s="278" t="s">
        <v>436</v>
      </c>
      <c r="B28" s="277">
        <v>0</v>
      </c>
      <c r="C28" s="277"/>
      <c r="D28" s="277">
        <v>0</v>
      </c>
      <c r="E28" s="277"/>
      <c r="F28" s="312">
        <v>2.9932671000000002</v>
      </c>
      <c r="G28" s="126"/>
    </row>
    <row r="29" spans="1:7" ht="15.6" x14ac:dyDescent="0.3">
      <c r="A29" s="278" t="s">
        <v>437</v>
      </c>
      <c r="B29" s="277">
        <v>1</v>
      </c>
      <c r="C29" s="277"/>
      <c r="D29" s="277">
        <v>0</v>
      </c>
      <c r="E29" s="277"/>
      <c r="F29" s="312">
        <v>2.9854217999999997</v>
      </c>
      <c r="G29" s="126"/>
    </row>
    <row r="30" spans="1:7" ht="15.6" x14ac:dyDescent="0.3">
      <c r="A30" s="278" t="s">
        <v>438</v>
      </c>
      <c r="B30" s="277">
        <v>0</v>
      </c>
      <c r="C30" s="277"/>
      <c r="D30" s="277">
        <v>0</v>
      </c>
      <c r="E30" s="277"/>
      <c r="F30" s="312">
        <v>2.9710457999999997</v>
      </c>
      <c r="G30" s="126"/>
    </row>
    <row r="31" spans="1:7" ht="15.6" x14ac:dyDescent="0.3">
      <c r="A31" s="278" t="s">
        <v>439</v>
      </c>
      <c r="B31" s="277">
        <v>0</v>
      </c>
      <c r="C31" s="277"/>
      <c r="D31" s="277">
        <v>0</v>
      </c>
      <c r="E31" s="277"/>
      <c r="F31" s="312">
        <v>2.9969019000000001</v>
      </c>
      <c r="G31" s="126"/>
    </row>
    <row r="32" spans="1:7" ht="15.6" x14ac:dyDescent="0.3">
      <c r="A32" s="278" t="s">
        <v>440</v>
      </c>
      <c r="B32" s="277">
        <v>0</v>
      </c>
      <c r="C32" s="277"/>
      <c r="D32" s="277">
        <v>0</v>
      </c>
      <c r="E32" s="277"/>
      <c r="F32" s="312">
        <v>2.98</v>
      </c>
      <c r="G32" s="126"/>
    </row>
    <row r="33" spans="1:6" ht="15.6" x14ac:dyDescent="0.3">
      <c r="A33" s="278" t="s">
        <v>441</v>
      </c>
      <c r="B33" s="277">
        <v>0</v>
      </c>
      <c r="C33" s="277"/>
      <c r="D33" s="277">
        <v>0</v>
      </c>
      <c r="E33" s="277"/>
      <c r="F33" s="312">
        <v>2.9565123999999998</v>
      </c>
    </row>
    <row r="34" spans="1:6" ht="15.6" x14ac:dyDescent="0.3">
      <c r="A34" s="278" t="s">
        <v>442</v>
      </c>
      <c r="B34" s="277">
        <v>1</v>
      </c>
      <c r="C34" s="277"/>
      <c r="D34" s="277">
        <v>0</v>
      </c>
      <c r="E34" s="277"/>
      <c r="F34" s="312">
        <v>2.9944769999999998</v>
      </c>
    </row>
    <row r="35" spans="1:6" ht="15.6" x14ac:dyDescent="0.3">
      <c r="A35" s="278" t="s">
        <v>443</v>
      </c>
      <c r="B35" s="277">
        <v>0</v>
      </c>
      <c r="C35" s="277"/>
      <c r="D35" s="277">
        <v>0</v>
      </c>
      <c r="E35" s="277"/>
      <c r="F35" s="312">
        <v>2.9782160000000002</v>
      </c>
    </row>
    <row r="36" spans="1:6" ht="15.6" x14ac:dyDescent="0.3">
      <c r="A36" s="278" t="s">
        <v>444</v>
      </c>
      <c r="B36" s="277">
        <v>1</v>
      </c>
      <c r="C36" s="277"/>
      <c r="D36" s="277">
        <v>0</v>
      </c>
      <c r="E36" s="277"/>
      <c r="F36" s="312">
        <v>2.98</v>
      </c>
    </row>
    <row r="37" spans="1:6" ht="15.6" x14ac:dyDescent="0.3">
      <c r="A37" s="278" t="s">
        <v>445</v>
      </c>
      <c r="B37" s="277">
        <v>0</v>
      </c>
      <c r="C37" s="277"/>
      <c r="D37" s="277">
        <v>0</v>
      </c>
      <c r="E37" s="277"/>
      <c r="F37" s="312">
        <v>2.98</v>
      </c>
    </row>
  </sheetData>
  <phoneticPr fontId="65" type="noConversion"/>
  <pageMargins left="0.7" right="0.7" top="0.75" bottom="0.75" header="0.3" footer="0.3"/>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47"/>
  <sheetViews>
    <sheetView workbookViewId="0">
      <selection activeCell="H37" sqref="H37"/>
    </sheetView>
  </sheetViews>
  <sheetFormatPr defaultColWidth="13.33203125" defaultRowHeight="14.4" x14ac:dyDescent="0.3"/>
  <cols>
    <col min="1" max="1" width="36.44140625" style="112" bestFit="1" customWidth="1"/>
    <col min="2" max="2" width="9.6640625" style="112" bestFit="1" customWidth="1"/>
    <col min="3" max="3" width="19.6640625" style="112" customWidth="1"/>
    <col min="4" max="4" width="19" style="112" customWidth="1"/>
    <col min="5" max="5" width="28.109375" style="112" customWidth="1"/>
    <col min="6" max="6" width="20.109375" style="112" customWidth="1"/>
    <col min="7" max="7" width="32.33203125" style="112" bestFit="1" customWidth="1"/>
    <col min="8" max="16384" width="13.33203125" style="112"/>
  </cols>
  <sheetData>
    <row r="1" spans="1:7" ht="21" x14ac:dyDescent="0.4">
      <c r="A1" s="282" t="s">
        <v>8</v>
      </c>
    </row>
    <row r="2" spans="1:7" ht="21" x14ac:dyDescent="0.4">
      <c r="A2" s="282" t="s">
        <v>9</v>
      </c>
    </row>
    <row r="3" spans="1:7" ht="21" x14ac:dyDescent="0.4">
      <c r="A3" s="282" t="s">
        <v>165</v>
      </c>
    </row>
    <row r="4" spans="1:7" ht="21" x14ac:dyDescent="0.4">
      <c r="A4" s="282" t="s">
        <v>164</v>
      </c>
    </row>
    <row r="5" spans="1:7" ht="21" x14ac:dyDescent="0.4">
      <c r="A5" s="282" t="s">
        <v>166</v>
      </c>
    </row>
    <row r="7" spans="1:7" ht="16.2" thickBot="1" x14ac:dyDescent="0.4">
      <c r="A7" s="196" t="s">
        <v>33</v>
      </c>
      <c r="B7" s="98"/>
      <c r="C7" s="98" t="s">
        <v>156</v>
      </c>
      <c r="D7" s="98" t="s">
        <v>157</v>
      </c>
      <c r="E7" s="98" t="s">
        <v>158</v>
      </c>
      <c r="F7" s="98" t="s">
        <v>349</v>
      </c>
      <c r="G7" s="216" t="s">
        <v>214</v>
      </c>
    </row>
    <row r="8" spans="1:7" x14ac:dyDescent="0.3">
      <c r="A8" s="112" t="s">
        <v>343</v>
      </c>
      <c r="B8" s="172" t="s">
        <v>260</v>
      </c>
      <c r="C8" s="211">
        <v>9.9999999999999995E-7</v>
      </c>
      <c r="D8" s="211">
        <v>9.9999999999999995E-7</v>
      </c>
      <c r="E8" s="211">
        <v>9.9999999999999995E-7</v>
      </c>
      <c r="F8" s="211">
        <v>9.9999999999999995E-7</v>
      </c>
    </row>
    <row r="9" spans="1:7" x14ac:dyDescent="0.3">
      <c r="A9" s="188" t="s">
        <v>159</v>
      </c>
      <c r="B9" s="112" t="s">
        <v>346</v>
      </c>
      <c r="C9" s="236">
        <f>Risk_Calculations!C67</f>
        <v>613200</v>
      </c>
      <c r="D9" s="205">
        <f>Risk_Calculations!D67</f>
        <v>613200</v>
      </c>
      <c r="E9" s="205">
        <f>Risk_Calculations!F67</f>
        <v>613200</v>
      </c>
      <c r="F9" s="237">
        <f>Risk_Calculations!G67</f>
        <v>613200</v>
      </c>
    </row>
    <row r="10" spans="1:7" x14ac:dyDescent="0.3">
      <c r="A10" s="188" t="s">
        <v>153</v>
      </c>
      <c r="B10" s="112" t="s">
        <v>161</v>
      </c>
      <c r="C10" s="238">
        <f>Risk_Calculations!C61</f>
        <v>250</v>
      </c>
      <c r="D10" s="112">
        <f>Risk_Calculations!D61</f>
        <v>350</v>
      </c>
      <c r="E10" s="112">
        <f>Risk_Calculations!F61</f>
        <v>250</v>
      </c>
      <c r="F10" s="239">
        <f>Risk_Calculations!G61</f>
        <v>350</v>
      </c>
      <c r="G10" s="242" t="s">
        <v>6</v>
      </c>
    </row>
    <row r="11" spans="1:7" x14ac:dyDescent="0.3">
      <c r="A11" s="188" t="s">
        <v>154</v>
      </c>
      <c r="B11" s="112" t="s">
        <v>160</v>
      </c>
      <c r="C11" s="238">
        <f>Risk_Calculations!C62</f>
        <v>1</v>
      </c>
      <c r="D11" s="112">
        <f>Risk_Calculations!D62</f>
        <v>26</v>
      </c>
      <c r="E11" s="112">
        <f>Risk_Calculations!F62</f>
        <v>25</v>
      </c>
      <c r="F11" s="239">
        <f>Risk_Calculations!G62</f>
        <v>26</v>
      </c>
    </row>
    <row r="12" spans="1:7" x14ac:dyDescent="0.3">
      <c r="A12" s="189" t="s">
        <v>398</v>
      </c>
      <c r="B12" s="171" t="s">
        <v>347</v>
      </c>
      <c r="C12" s="240">
        <f>Risk_Calculations!C66</f>
        <v>8</v>
      </c>
      <c r="D12" s="207">
        <f>Risk_Calculations!D66</f>
        <v>12</v>
      </c>
      <c r="E12" s="207">
        <f>Risk_Calculations!F66</f>
        <v>3.2</v>
      </c>
      <c r="F12" s="241">
        <f>Risk_Calculations!G66</f>
        <v>12</v>
      </c>
    </row>
    <row r="13" spans="1:7" ht="16.2" x14ac:dyDescent="0.3">
      <c r="A13" s="191" t="s">
        <v>400</v>
      </c>
      <c r="B13" s="193" t="s">
        <v>344</v>
      </c>
      <c r="C13" s="194">
        <v>5.6933600000000001E-2</v>
      </c>
      <c r="D13" s="194">
        <v>5.6933600000000001E-2</v>
      </c>
      <c r="E13" s="194">
        <v>5.6933600000000001E-2</v>
      </c>
      <c r="F13" s="194">
        <v>5.6933600000000001E-2</v>
      </c>
    </row>
    <row r="14" spans="1:7" ht="16.2" x14ac:dyDescent="0.3">
      <c r="A14" s="192" t="s">
        <v>339</v>
      </c>
      <c r="B14" s="193" t="s">
        <v>344</v>
      </c>
      <c r="C14" s="195">
        <v>6.3206000000000007</v>
      </c>
      <c r="D14" s="195">
        <v>6.3206000000000007</v>
      </c>
      <c r="E14" s="195">
        <v>6.3206000000000007</v>
      </c>
      <c r="F14" s="195">
        <v>6.3206000000000007</v>
      </c>
    </row>
    <row r="15" spans="1:7" s="171" customFormat="1" x14ac:dyDescent="0.3">
      <c r="A15" s="190" t="s">
        <v>340</v>
      </c>
      <c r="C15" s="246">
        <f>Risk_Calculations!E40</f>
        <v>3.2615786040443573E-3</v>
      </c>
      <c r="D15" s="247">
        <f>Risk_Calculations!F40</f>
        <v>0.17808219178082191</v>
      </c>
      <c r="E15" s="247">
        <f>Risk_Calculations!G40</f>
        <v>3.2615786040443573E-2</v>
      </c>
      <c r="F15" s="248">
        <f>Risk_Calculations!H40</f>
        <v>0.17808219178082191</v>
      </c>
      <c r="G15" s="242" t="s">
        <v>77</v>
      </c>
    </row>
    <row r="16" spans="1:7" ht="16.2" x14ac:dyDescent="0.3">
      <c r="A16" s="190" t="s">
        <v>399</v>
      </c>
      <c r="B16" s="181" t="s">
        <v>345</v>
      </c>
      <c r="C16" s="249">
        <f>Risk_Calculations!C69</f>
        <v>4252.7982061708817</v>
      </c>
      <c r="D16" s="250">
        <f>Risk_Calculations!D69</f>
        <v>1003437.3679331478</v>
      </c>
      <c r="E16" s="250">
        <f>Risk_Calculations!F69</f>
        <v>954793.44361836847</v>
      </c>
      <c r="F16" s="251">
        <f>Risk_Calculations!G69</f>
        <v>954793.44361836847</v>
      </c>
      <c r="G16" s="242" t="s">
        <v>7</v>
      </c>
    </row>
    <row r="17" spans="1:7" ht="15.6" x14ac:dyDescent="0.35">
      <c r="A17" s="190" t="s">
        <v>341</v>
      </c>
      <c r="B17" s="112" t="s">
        <v>362</v>
      </c>
      <c r="C17" s="187">
        <f>((C8*C9)/(C13*C12*C10*C11))*C16</f>
        <v>22.902256839757055</v>
      </c>
      <c r="D17" s="187">
        <f>((D8*D9)/(D13*D12*D10*D11))*D16</f>
        <v>98.969444377201341</v>
      </c>
      <c r="E17" s="187">
        <f>((E8*E9)/(E13*E12*E10*E11))*E16</f>
        <v>514.17733959101793</v>
      </c>
      <c r="F17" s="187">
        <f>((F8*F9)/(F13*F12*F10*F11))*F16</f>
        <v>94.171673917768842</v>
      </c>
      <c r="G17" s="210" t="s">
        <v>361</v>
      </c>
    </row>
    <row r="18" spans="1:7" ht="15.6" x14ac:dyDescent="0.35">
      <c r="A18" s="190" t="s">
        <v>342</v>
      </c>
      <c r="B18" s="112" t="s">
        <v>362</v>
      </c>
      <c r="C18" s="187">
        <f>((C8*C9)/(C14*C12*C10*C11))*C16</f>
        <v>0.20629496092332883</v>
      </c>
      <c r="D18" s="187">
        <f>((D8*D9)/(D14*D12*D10*D11))*D16</f>
        <v>0.89147972635411654</v>
      </c>
      <c r="E18" s="187">
        <f>((E8*E9)/(E14*E12*E10*E11))*E16</f>
        <v>4.6315170998543138</v>
      </c>
      <c r="F18" s="187">
        <f>((F8*F9)/(F14*F12*F10*F11))*F16</f>
        <v>0.84826320510152253</v>
      </c>
      <c r="G18" s="210" t="s">
        <v>361</v>
      </c>
    </row>
    <row r="19" spans="1:7" x14ac:dyDescent="0.3">
      <c r="A19" s="190"/>
      <c r="C19" s="187"/>
      <c r="D19" s="187"/>
      <c r="E19" s="187"/>
      <c r="F19" s="187"/>
    </row>
    <row r="20" spans="1:7" x14ac:dyDescent="0.3">
      <c r="A20" s="201" t="s">
        <v>355</v>
      </c>
      <c r="C20" s="187"/>
      <c r="D20" s="187"/>
      <c r="E20" s="187"/>
      <c r="F20" s="187"/>
    </row>
    <row r="21" spans="1:7" x14ac:dyDescent="0.3">
      <c r="A21" s="190" t="s">
        <v>356</v>
      </c>
      <c r="B21" s="112" t="s">
        <v>348</v>
      </c>
      <c r="C21" s="187">
        <f t="shared" ref="C21:F22" si="0">(C17/$B$44)*1000000</f>
        <v>7644961.1475417102</v>
      </c>
      <c r="D21" s="187">
        <f>(D17/$B$44)*1000000</f>
        <v>33036812.151370525</v>
      </c>
      <c r="E21" s="187">
        <f t="shared" si="0"/>
        <v>171636612.56719145</v>
      </c>
      <c r="F21" s="187">
        <f t="shared" si="0"/>
        <v>31435277.026958141</v>
      </c>
    </row>
    <row r="22" spans="1:7" x14ac:dyDescent="0.3">
      <c r="A22" s="190" t="s">
        <v>357</v>
      </c>
      <c r="B22" s="112" t="s">
        <v>348</v>
      </c>
      <c r="C22" s="187">
        <f t="shared" si="0"/>
        <v>68862.949718330652</v>
      </c>
      <c r="D22" s="187">
        <f t="shared" si="0"/>
        <v>297583.24341063644</v>
      </c>
      <c r="E22" s="187">
        <f t="shared" si="0"/>
        <v>1546038.3895920403</v>
      </c>
      <c r="F22" s="187">
        <f t="shared" si="0"/>
        <v>283157.2142109964</v>
      </c>
    </row>
    <row r="23" spans="1:7" x14ac:dyDescent="0.3">
      <c r="A23" s="204" t="s">
        <v>353</v>
      </c>
      <c r="B23" s="205"/>
      <c r="C23" s="209">
        <f>CEILING($A$40/C21,1)</f>
        <v>1</v>
      </c>
      <c r="D23" s="209">
        <f t="shared" ref="C23:F24" si="1">CEILING($A$40/D21,1)</f>
        <v>1</v>
      </c>
      <c r="E23" s="209">
        <f t="shared" si="1"/>
        <v>1</v>
      </c>
      <c r="F23" s="209">
        <f t="shared" si="1"/>
        <v>1</v>
      </c>
    </row>
    <row r="24" spans="1:7" x14ac:dyDescent="0.3">
      <c r="A24" s="206" t="s">
        <v>354</v>
      </c>
      <c r="B24" s="207"/>
      <c r="C24" s="208">
        <f t="shared" si="1"/>
        <v>44</v>
      </c>
      <c r="D24" s="208">
        <f t="shared" si="1"/>
        <v>11</v>
      </c>
      <c r="E24" s="208">
        <f t="shared" si="1"/>
        <v>2</v>
      </c>
      <c r="F24" s="208">
        <f t="shared" si="1"/>
        <v>11</v>
      </c>
    </row>
    <row r="26" spans="1:7" x14ac:dyDescent="0.3">
      <c r="A26" s="201" t="s">
        <v>359</v>
      </c>
    </row>
    <row r="27" spans="1:7" x14ac:dyDescent="0.3">
      <c r="A27" s="190" t="s">
        <v>356</v>
      </c>
      <c r="B27" s="112" t="s">
        <v>348</v>
      </c>
      <c r="C27" s="187">
        <f t="shared" ref="C27:F28" si="2">(C17/$C$44)*1000000</f>
        <v>4827763.6831683721</v>
      </c>
      <c r="D27" s="187">
        <f t="shared" si="2"/>
        <v>20862620.336969085</v>
      </c>
      <c r="E27" s="187">
        <f t="shared" si="2"/>
        <v>108387863.43870115</v>
      </c>
      <c r="F27" s="187">
        <f t="shared" si="2"/>
        <v>19851257.040055156</v>
      </c>
    </row>
    <row r="28" spans="1:7" x14ac:dyDescent="0.3">
      <c r="A28" s="190" t="s">
        <v>357</v>
      </c>
      <c r="B28" s="112" t="s">
        <v>348</v>
      </c>
      <c r="C28" s="187">
        <f t="shared" si="2"/>
        <v>43486.688990291237</v>
      </c>
      <c r="D28" s="187">
        <f t="shared" si="2"/>
        <v>187922.67841927393</v>
      </c>
      <c r="E28" s="187">
        <f t="shared" si="2"/>
        <v>976317.32143683138</v>
      </c>
      <c r="F28" s="187">
        <f t="shared" si="2"/>
        <v>178812.69623385186</v>
      </c>
    </row>
    <row r="29" spans="1:7" x14ac:dyDescent="0.3">
      <c r="A29" s="204" t="s">
        <v>353</v>
      </c>
      <c r="B29" s="205"/>
      <c r="C29" s="209">
        <f t="shared" ref="C29:F30" si="3">CEILING($A$40/C27,1)</f>
        <v>1</v>
      </c>
      <c r="D29" s="209">
        <f t="shared" si="3"/>
        <v>1</v>
      </c>
      <c r="E29" s="209">
        <f t="shared" si="3"/>
        <v>1</v>
      </c>
      <c r="F29" s="209">
        <f t="shared" si="3"/>
        <v>1</v>
      </c>
    </row>
    <row r="30" spans="1:7" x14ac:dyDescent="0.3">
      <c r="A30" s="206" t="s">
        <v>354</v>
      </c>
      <c r="B30" s="207"/>
      <c r="C30" s="208">
        <f t="shared" si="3"/>
        <v>69</v>
      </c>
      <c r="D30" s="208">
        <f t="shared" si="3"/>
        <v>16</v>
      </c>
      <c r="E30" s="208">
        <f t="shared" si="3"/>
        <v>4</v>
      </c>
      <c r="F30" s="208">
        <f t="shared" si="3"/>
        <v>17</v>
      </c>
    </row>
    <row r="31" spans="1:7" x14ac:dyDescent="0.3">
      <c r="A31" s="190"/>
    </row>
    <row r="32" spans="1:7" x14ac:dyDescent="0.3">
      <c r="A32" s="201" t="s">
        <v>360</v>
      </c>
    </row>
    <row r="33" spans="1:7" x14ac:dyDescent="0.3">
      <c r="A33" s="190" t="s">
        <v>356</v>
      </c>
      <c r="B33" s="112" t="s">
        <v>348</v>
      </c>
      <c r="C33" s="187">
        <f t="shared" ref="C33:F34" si="4">(C17/$D$44)*1000000</f>
        <v>3637707.6847298732</v>
      </c>
      <c r="D33" s="187">
        <f t="shared" si="4"/>
        <v>15719931.484630495</v>
      </c>
      <c r="E33" s="187">
        <f t="shared" si="4"/>
        <v>81669980.064901263</v>
      </c>
      <c r="F33" s="187">
        <f t="shared" si="4"/>
        <v>14957871.806758473</v>
      </c>
    </row>
    <row r="34" spans="1:7" x14ac:dyDescent="0.3">
      <c r="A34" s="190" t="s">
        <v>357</v>
      </c>
      <c r="B34" s="112" t="s">
        <v>348</v>
      </c>
      <c r="C34" s="187">
        <f t="shared" si="4"/>
        <v>32767.109805926128</v>
      </c>
      <c r="D34" s="187">
        <f t="shared" si="4"/>
        <v>141599.2613317341</v>
      </c>
      <c r="E34" s="187">
        <f t="shared" si="4"/>
        <v>735652.62427982513</v>
      </c>
      <c r="F34" s="187">
        <f t="shared" si="4"/>
        <v>134734.91287176282</v>
      </c>
    </row>
    <row r="35" spans="1:7" x14ac:dyDescent="0.3">
      <c r="A35" s="204" t="s">
        <v>353</v>
      </c>
      <c r="B35" s="205"/>
      <c r="C35" s="209">
        <f t="shared" ref="C35:F36" si="5">CEILING($A$40/C33,1)</f>
        <v>1</v>
      </c>
      <c r="D35" s="209">
        <f t="shared" si="5"/>
        <v>1</v>
      </c>
      <c r="E35" s="209">
        <f t="shared" si="5"/>
        <v>1</v>
      </c>
      <c r="F35" s="209">
        <f t="shared" si="5"/>
        <v>1</v>
      </c>
    </row>
    <row r="36" spans="1:7" x14ac:dyDescent="0.3">
      <c r="A36" s="206" t="s">
        <v>354</v>
      </c>
      <c r="B36" s="207"/>
      <c r="C36" s="208">
        <f t="shared" si="5"/>
        <v>92</v>
      </c>
      <c r="D36" s="208">
        <f t="shared" si="5"/>
        <v>22</v>
      </c>
      <c r="E36" s="208">
        <f t="shared" si="5"/>
        <v>5</v>
      </c>
      <c r="F36" s="208">
        <f t="shared" si="5"/>
        <v>23</v>
      </c>
    </row>
    <row r="37" spans="1:7" x14ac:dyDescent="0.3">
      <c r="A37" s="190"/>
    </row>
    <row r="38" spans="1:7" x14ac:dyDescent="0.3">
      <c r="B38" s="187"/>
    </row>
    <row r="39" spans="1:7" x14ac:dyDescent="0.3">
      <c r="A39" s="255" t="s">
        <v>358</v>
      </c>
      <c r="B39" s="187"/>
    </row>
    <row r="40" spans="1:7" x14ac:dyDescent="0.3">
      <c r="A40" s="256">
        <v>3000000</v>
      </c>
      <c r="B40" s="187"/>
    </row>
    <row r="41" spans="1:7" x14ac:dyDescent="0.3">
      <c r="B41" s="187"/>
    </row>
    <row r="42" spans="1:7" x14ac:dyDescent="0.3">
      <c r="A42" s="112" t="s">
        <v>351</v>
      </c>
      <c r="B42" s="112">
        <v>0</v>
      </c>
      <c r="C42" s="112">
        <v>1</v>
      </c>
      <c r="D42" s="112">
        <v>2</v>
      </c>
      <c r="E42" s="112">
        <v>3</v>
      </c>
      <c r="F42" s="112">
        <v>4</v>
      </c>
      <c r="G42" s="112">
        <v>5</v>
      </c>
    </row>
    <row r="43" spans="1:7" x14ac:dyDescent="0.3">
      <c r="A43" s="112" t="s">
        <v>350</v>
      </c>
      <c r="B43" s="112">
        <v>0.05</v>
      </c>
      <c r="C43" s="112">
        <v>0.05</v>
      </c>
      <c r="D43" s="112">
        <v>0.05</v>
      </c>
      <c r="E43" s="112">
        <v>0.05</v>
      </c>
      <c r="F43" s="112">
        <v>0.05</v>
      </c>
      <c r="G43" s="112">
        <v>0.05</v>
      </c>
    </row>
    <row r="44" spans="1:7" x14ac:dyDescent="0.3">
      <c r="A44" s="112" t="s">
        <v>352</v>
      </c>
      <c r="B44" s="112">
        <f t="shared" ref="B44:G44" si="6">CHIINV(B$43,(B$42+1)*2)/2</f>
        <v>2.9957322735539909</v>
      </c>
      <c r="C44" s="112">
        <f t="shared" si="6"/>
        <v>4.7438645183905788</v>
      </c>
      <c r="D44" s="112">
        <f t="shared" si="6"/>
        <v>6.2957936218719892</v>
      </c>
      <c r="E44" s="112">
        <f t="shared" si="6"/>
        <v>7.7536565279327263</v>
      </c>
      <c r="F44" s="112">
        <f t="shared" si="6"/>
        <v>9.1535190266375732</v>
      </c>
      <c r="G44" s="112">
        <f t="shared" si="6"/>
        <v>10.513034908741533</v>
      </c>
    </row>
    <row r="46" spans="1:7" x14ac:dyDescent="0.3">
      <c r="A46" s="262" t="s">
        <v>27</v>
      </c>
      <c r="B46" s="210"/>
      <c r="C46" s="210"/>
      <c r="D46" s="210"/>
      <c r="E46" s="210"/>
      <c r="F46" s="210"/>
      <c r="G46" s="210"/>
    </row>
    <row r="47" spans="1:7" x14ac:dyDescent="0.3">
      <c r="A47" s="262" t="s">
        <v>26</v>
      </c>
      <c r="B47" s="210"/>
      <c r="C47" s="210"/>
      <c r="D47" s="210"/>
      <c r="E47" s="210"/>
      <c r="F47" s="210"/>
      <c r="G47" s="210"/>
    </row>
  </sheetData>
  <phoneticPr fontId="65" type="noConversion"/>
  <pageMargins left="0.7" right="0.7" top="0.75" bottom="0.75" header="0.3" footer="0.3"/>
  <legacyDrawing r:id="rId1"/>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Risk_Calculations</vt:lpstr>
      <vt:lpstr>PEF Construction Scenario</vt:lpstr>
      <vt:lpstr>PEF Off-Site Resident</vt:lpstr>
      <vt:lpstr>PEF Comm-Indust Worker</vt:lpstr>
      <vt:lpstr>PEF Onsite Resident</vt:lpstr>
      <vt:lpstr>QC Equation Constants</vt:lpstr>
      <vt:lpstr>Data and Analytical Sensitivity</vt:lpstr>
      <vt:lpstr>BCL Asbestos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2017-10-09T20:41:52Z</dcterms:modified>
</cp:coreProperties>
</file>